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11111" sheetId="1" r:id="rId1"/>
  </sheets>
  <calcPr calcId="144525"/>
</workbook>
</file>

<file path=xl/sharedStrings.xml><?xml version="1.0" encoding="utf-8"?>
<sst xmlns="http://schemas.openxmlformats.org/spreadsheetml/2006/main" count="6" uniqueCount="6">
  <si>
    <t>鼓楼区小市社区卫生服务中心服务项目及价目表</t>
  </si>
  <si>
    <t>项目名称</t>
  </si>
  <si>
    <t>项目编码</t>
  </si>
  <si>
    <t>单价</t>
  </si>
  <si>
    <t>规格</t>
  </si>
  <si>
    <t>核算科目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</si>
</sst>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" fillId="4" borderId="2" applyNumberFormat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44"/>
  <sheetViews>
    <sheetView tabSelected="1" workbookViewId="0">
      <selection activeCell="G11" sqref="G11"/>
    </sheetView>
  </sheetViews>
  <sheetFormatPr defaultColWidth="9" defaultRowHeight="20" customHeight="1" outlineLevelCol="4"/>
  <cols>
    <col min="1" max="1" width="55.375" customWidth="1"/>
    <col min="2" max="2" width="15" style="1" customWidth="1"/>
    <col min="3" max="3" width="9.375" style="2"/>
    <col min="4" max="4" width="19.625" style="1" customWidth="1"/>
    <col min="5" max="5" width="16.125" style="1" customWidth="1"/>
  </cols>
  <sheetData>
    <row r="1" customHeight="1" spans="1:5">
      <c r="A1" s="3" t="s">
        <v>0</v>
      </c>
      <c r="B1" s="3"/>
      <c r="C1" s="3"/>
      <c r="D1" s="3"/>
      <c r="E1" s="3"/>
    </row>
    <row r="2" customHeight="1" spans="1: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</row>
    <row r="3" customHeight="1" spans="1:5">
      <c r="A3" s="5" t="str">
        <f>"远红外理疗贴"</f>
        <v>远红外理疗贴</v>
      </c>
      <c r="B3" s="3" t="str">
        <f>"100000000-19"</f>
        <v>100000000-19</v>
      </c>
      <c r="C3" s="4">
        <v>12</v>
      </c>
      <c r="D3" s="3" t="str">
        <f>"7cm*10cm"</f>
        <v>7cm*10cm</v>
      </c>
      <c r="E3" s="3" t="str">
        <f>"材料费"</f>
        <v>材料费</v>
      </c>
    </row>
    <row r="4" customHeight="1" spans="1:5">
      <c r="A4" s="5" t="str">
        <f>"爱尔降温贴"</f>
        <v>爱尔降温贴</v>
      </c>
      <c r="B4" s="3" t="str">
        <f>"100000000-4"</f>
        <v>100000000-4</v>
      </c>
      <c r="C4" s="4">
        <v>5.2</v>
      </c>
      <c r="D4" s="3" t="str">
        <f>"50mm*120mm"</f>
        <v>50mm*120mm</v>
      </c>
      <c r="E4" s="3" t="str">
        <f>"材料费"</f>
        <v>材料费</v>
      </c>
    </row>
    <row r="5" customHeight="1" spans="1:5">
      <c r="A5" s="5" t="str">
        <f>"长效抗菌材料(洁悠神)"</f>
        <v>长效抗菌材料(洁悠神)</v>
      </c>
      <c r="B5" s="3" t="str">
        <f>"100000000-4-1"</f>
        <v>100000000-4-1</v>
      </c>
      <c r="C5" s="4">
        <v>44</v>
      </c>
      <c r="D5" s="3" t="str">
        <f>"20ml"</f>
        <v>20ml</v>
      </c>
      <c r="E5" s="3" t="str">
        <f>"材料费"</f>
        <v>材料费</v>
      </c>
    </row>
    <row r="6" customHeight="1" spans="1:5">
      <c r="A6" s="5" t="str">
        <f>"住院诊查费"</f>
        <v>住院诊查费</v>
      </c>
      <c r="B6" s="3">
        <v>110200005</v>
      </c>
      <c r="C6" s="4">
        <v>7</v>
      </c>
      <c r="D6" s="3" t="str">
        <f>"日"</f>
        <v>日</v>
      </c>
      <c r="E6" s="3" t="str">
        <f>"诊查费"</f>
        <v>诊查费</v>
      </c>
    </row>
    <row r="7" customHeight="1" spans="1:5">
      <c r="A7" s="5" t="str">
        <f>"方便门诊费"</f>
        <v>方便门诊费</v>
      </c>
      <c r="B7" s="3">
        <v>110200008</v>
      </c>
      <c r="C7" s="4">
        <v>1</v>
      </c>
      <c r="D7" s="3" t="str">
        <f t="shared" ref="D7:D11" si="0">"次"</f>
        <v>次</v>
      </c>
      <c r="E7" s="3" t="str">
        <f>"诊查费"</f>
        <v>诊查费</v>
      </c>
    </row>
    <row r="8" customHeight="1" spans="1:5">
      <c r="A8" s="5" t="str">
        <f>"急诊监护费"</f>
        <v>急诊监护费</v>
      </c>
      <c r="B8" s="3">
        <v>110300001</v>
      </c>
      <c r="C8" s="4">
        <v>130</v>
      </c>
      <c r="D8" s="3" t="str">
        <f t="shared" ref="D8:D13" si="1">"日"</f>
        <v>日</v>
      </c>
      <c r="E8" s="3" t="str">
        <f>"监护费"</f>
        <v>监护费</v>
      </c>
    </row>
    <row r="9" customHeight="1" spans="1:5">
      <c r="A9" s="5" t="str">
        <f>"院前急救费"</f>
        <v>院前急救费</v>
      </c>
      <c r="B9" s="3">
        <v>110400001</v>
      </c>
      <c r="C9" s="4">
        <v>46</v>
      </c>
      <c r="D9" s="3" t="str">
        <f t="shared" si="0"/>
        <v>次</v>
      </c>
      <c r="E9" s="3" t="str">
        <f>"治疗费"</f>
        <v>治疗费</v>
      </c>
    </row>
    <row r="10" customHeight="1" spans="1:5">
      <c r="A10" s="5" t="str">
        <f>"体检费"</f>
        <v>体检费</v>
      </c>
      <c r="B10" s="3">
        <v>110500001</v>
      </c>
      <c r="C10" s="4">
        <v>15</v>
      </c>
      <c r="D10" s="3" t="str">
        <f>"项"</f>
        <v>项</v>
      </c>
      <c r="E10" s="3" t="str">
        <f>"体检费"</f>
        <v>体检费</v>
      </c>
    </row>
    <row r="11" customHeight="1" spans="1:5">
      <c r="A11" s="5" t="str">
        <f>"救护车费"</f>
        <v>救护车费</v>
      </c>
      <c r="B11" s="3" t="str">
        <f>"110600001-a"</f>
        <v>110600001-a</v>
      </c>
      <c r="C11" s="4">
        <v>40</v>
      </c>
      <c r="D11" s="3" t="str">
        <f t="shared" si="0"/>
        <v>次</v>
      </c>
      <c r="E11" s="3" t="str">
        <f>"救护车费"</f>
        <v>救护车费</v>
      </c>
    </row>
    <row r="12" customHeight="1" spans="1:5">
      <c r="A12" s="5" t="str">
        <f>"三人间床位费"</f>
        <v>三人间床位费</v>
      </c>
      <c r="B12" s="3" t="str">
        <f>"110900001-b"</f>
        <v>110900001-b</v>
      </c>
      <c r="C12" s="4">
        <v>40</v>
      </c>
      <c r="D12" s="3" t="str">
        <f t="shared" si="1"/>
        <v>日</v>
      </c>
      <c r="E12" s="3" t="str">
        <f t="shared" ref="E12:E15" si="2">"床位费"</f>
        <v>床位费</v>
      </c>
    </row>
    <row r="13" customHeight="1" spans="1:5">
      <c r="A13" s="5" t="str">
        <f>"双人间床位费B"</f>
        <v>双人间床位费B</v>
      </c>
      <c r="B13" s="3" t="str">
        <f>"110900001-d"</f>
        <v>110900001-d</v>
      </c>
      <c r="C13" s="4">
        <v>60</v>
      </c>
      <c r="D13" s="3" t="str">
        <f t="shared" si="1"/>
        <v>日</v>
      </c>
      <c r="E13" s="3" t="str">
        <f t="shared" si="2"/>
        <v>床位费</v>
      </c>
    </row>
    <row r="14" customHeight="1" spans="1:5">
      <c r="A14" s="5" t="str">
        <f>"陪护床"</f>
        <v>陪护床</v>
      </c>
      <c r="B14" s="3" t="str">
        <f>"110900001-m"</f>
        <v>110900001-m</v>
      </c>
      <c r="C14" s="4">
        <v>12</v>
      </c>
      <c r="D14" s="3" t="str">
        <f>"张"</f>
        <v>张</v>
      </c>
      <c r="E14" s="3" t="str">
        <f t="shared" si="2"/>
        <v>床位费</v>
      </c>
    </row>
    <row r="15" customHeight="1" spans="1:5">
      <c r="A15" s="5" t="str">
        <f>"急诊观察床位费"</f>
        <v>急诊观察床位费</v>
      </c>
      <c r="B15" s="3">
        <v>110900005</v>
      </c>
      <c r="C15" s="4">
        <v>15</v>
      </c>
      <c r="D15" s="3" t="str">
        <f>"日"</f>
        <v>日</v>
      </c>
      <c r="E15" s="3" t="str">
        <f t="shared" si="2"/>
        <v>床位费</v>
      </c>
    </row>
    <row r="16" customHeight="1" spans="1:5">
      <c r="A16" s="5" t="str">
        <f>"院际会诊费(本地)"</f>
        <v>院际会诊费(本地)</v>
      </c>
      <c r="B16" s="3" t="str">
        <f>"111000001-a"</f>
        <v>111000001-a</v>
      </c>
      <c r="C16" s="4">
        <v>130</v>
      </c>
      <c r="D16" s="3" t="str">
        <f>"项"</f>
        <v>项</v>
      </c>
      <c r="E16" s="3" t="str">
        <f>"会诊费"</f>
        <v>会诊费</v>
      </c>
    </row>
    <row r="17" customHeight="1" spans="1:5">
      <c r="A17" s="5" t="str">
        <f>"院际会诊-外埠"</f>
        <v>院际会诊-外埠</v>
      </c>
      <c r="B17" s="3" t="str">
        <f>"111000001-b"</f>
        <v>111000001-b</v>
      </c>
      <c r="C17" s="4">
        <v>260</v>
      </c>
      <c r="D17" s="3" t="str">
        <f>"次"</f>
        <v>次</v>
      </c>
      <c r="E17" s="3" t="str">
        <f>"会诊费"</f>
        <v>会诊费</v>
      </c>
    </row>
    <row r="18" customHeight="1" spans="1:5">
      <c r="A18" s="5" t="str">
        <f>"一次性使用注射笔针头(优锐)"</f>
        <v>一次性使用注射笔针头(优锐)</v>
      </c>
      <c r="B18" s="3" t="str">
        <f>"120100001-1-2"</f>
        <v>120100001-1-2</v>
      </c>
      <c r="C18" s="4">
        <v>2.98</v>
      </c>
      <c r="D18" s="3" t="str">
        <f>"0.23mm（32G）x4mm"</f>
        <v>0.23mm（32G）x4mm</v>
      </c>
      <c r="E18" s="3" t="str">
        <f>"材料费"</f>
        <v>材料费</v>
      </c>
    </row>
    <row r="19" customHeight="1" spans="1:5">
      <c r="A19" s="5" t="str">
        <f>"特级护理"</f>
        <v>特级护理</v>
      </c>
      <c r="B19" s="3">
        <v>120100002</v>
      </c>
      <c r="C19" s="4">
        <v>4.4</v>
      </c>
      <c r="D19" s="3" t="str">
        <f>"小时"</f>
        <v>小时</v>
      </c>
      <c r="E19" s="3" t="str">
        <f t="shared" ref="E19:E28" si="3">"一般护理费"</f>
        <v>一般护理费</v>
      </c>
    </row>
    <row r="20" customHeight="1" spans="1:5">
      <c r="A20" s="5" t="str">
        <f>"一级护理"</f>
        <v>一级护理</v>
      </c>
      <c r="B20" s="3">
        <v>120100003</v>
      </c>
      <c r="C20" s="4">
        <v>27.5</v>
      </c>
      <c r="D20" s="3">
        <v>1</v>
      </c>
      <c r="E20" s="3" t="str">
        <f t="shared" si="3"/>
        <v>一般护理费</v>
      </c>
    </row>
    <row r="21" customHeight="1" spans="1:5">
      <c r="A21" s="5" t="str">
        <f>"二级护理"</f>
        <v>二级护理</v>
      </c>
      <c r="B21" s="3">
        <v>120100004</v>
      </c>
      <c r="C21" s="4">
        <v>22</v>
      </c>
      <c r="D21" s="3" t="str">
        <f t="shared" ref="D21:D23" si="4">"日"</f>
        <v>日</v>
      </c>
      <c r="E21" s="3" t="str">
        <f t="shared" si="3"/>
        <v>一般护理费</v>
      </c>
    </row>
    <row r="22" customHeight="1" spans="1:5">
      <c r="A22" s="5" t="str">
        <f>"三级护理"</f>
        <v>三级护理</v>
      </c>
      <c r="B22" s="3">
        <v>120100005</v>
      </c>
      <c r="C22" s="4">
        <v>16.5</v>
      </c>
      <c r="D22" s="3" t="str">
        <f t="shared" si="4"/>
        <v>日</v>
      </c>
      <c r="E22" s="3" t="str">
        <f t="shared" si="3"/>
        <v>一般护理费</v>
      </c>
    </row>
    <row r="23" customHeight="1" spans="1:5">
      <c r="A23" s="5" t="str">
        <f>"新生儿护理"</f>
        <v>新生儿护理</v>
      </c>
      <c r="B23" s="3">
        <v>120100007</v>
      </c>
      <c r="C23" s="4">
        <v>33</v>
      </c>
      <c r="D23" s="3" t="str">
        <f t="shared" si="4"/>
        <v>日</v>
      </c>
      <c r="E23" s="3" t="str">
        <f t="shared" si="3"/>
        <v>一般护理费</v>
      </c>
    </row>
    <row r="24" customHeight="1" spans="1:5">
      <c r="A24" s="5" t="str">
        <f>"新生儿特殊护理"</f>
        <v>新生儿特殊护理</v>
      </c>
      <c r="B24" s="3">
        <v>120100008</v>
      </c>
      <c r="C24" s="4">
        <v>5.5</v>
      </c>
      <c r="D24" s="3" t="str">
        <f t="shared" ref="D24:D28" si="5">"次"</f>
        <v>次</v>
      </c>
      <c r="E24" s="3" t="str">
        <f t="shared" si="3"/>
        <v>一般护理费</v>
      </c>
    </row>
    <row r="25" customHeight="1" spans="1:5">
      <c r="A25" s="5" t="str">
        <f>"气管切开护理"</f>
        <v>气管切开护理</v>
      </c>
      <c r="B25" s="3">
        <v>120100010</v>
      </c>
      <c r="C25" s="4">
        <v>14.5</v>
      </c>
      <c r="D25" s="3" t="str">
        <f t="shared" ref="D25:D31" si="6">"日"</f>
        <v>日</v>
      </c>
      <c r="E25" s="3" t="str">
        <f t="shared" si="3"/>
        <v>一般护理费</v>
      </c>
    </row>
    <row r="26" customHeight="1" spans="1:5">
      <c r="A26" s="5" t="str">
        <f>"吸痰护理"</f>
        <v>吸痰护理</v>
      </c>
      <c r="B26" s="3">
        <v>120100011</v>
      </c>
      <c r="C26" s="4">
        <v>5</v>
      </c>
      <c r="D26" s="3" t="str">
        <f t="shared" si="5"/>
        <v>次</v>
      </c>
      <c r="E26" s="3" t="str">
        <f t="shared" si="3"/>
        <v>一般护理费</v>
      </c>
    </row>
    <row r="27" customHeight="1" spans="1:5">
      <c r="A27" s="5" t="str">
        <f>"造瘘护理"</f>
        <v>造瘘护理</v>
      </c>
      <c r="B27" s="3">
        <v>120100012</v>
      </c>
      <c r="C27" s="4">
        <v>8</v>
      </c>
      <c r="D27" s="3" t="str">
        <f t="shared" si="5"/>
        <v>次</v>
      </c>
      <c r="E27" s="3" t="str">
        <f t="shared" si="3"/>
        <v>一般护理费</v>
      </c>
    </row>
    <row r="28" customHeight="1" spans="1:5">
      <c r="A28" s="5" t="str">
        <f>"动静脉置管护理"</f>
        <v>动静脉置管护理</v>
      </c>
      <c r="B28" s="3">
        <v>120100013</v>
      </c>
      <c r="C28" s="4">
        <v>6.5</v>
      </c>
      <c r="D28" s="3" t="str">
        <f t="shared" si="5"/>
        <v>次</v>
      </c>
      <c r="E28" s="3" t="str">
        <f t="shared" si="3"/>
        <v>一般护理费</v>
      </c>
    </row>
    <row r="29" customHeight="1" spans="1:5">
      <c r="A29" s="5" t="str">
        <f>"大抢救"</f>
        <v>大抢救</v>
      </c>
      <c r="B29" s="3">
        <v>120200001</v>
      </c>
      <c r="C29" s="4">
        <v>130</v>
      </c>
      <c r="D29" s="3" t="str">
        <f t="shared" si="6"/>
        <v>日</v>
      </c>
      <c r="E29" s="3" t="str">
        <f t="shared" ref="E29:E31" si="7">"治疗费"</f>
        <v>治疗费</v>
      </c>
    </row>
    <row r="30" customHeight="1" spans="1:5">
      <c r="A30" s="5" t="str">
        <f>"中抢救"</f>
        <v>中抢救</v>
      </c>
      <c r="B30" s="3">
        <v>120200002</v>
      </c>
      <c r="C30" s="4">
        <v>65</v>
      </c>
      <c r="D30" s="3" t="str">
        <f t="shared" si="6"/>
        <v>日</v>
      </c>
      <c r="E30" s="3" t="str">
        <f t="shared" si="7"/>
        <v>治疗费</v>
      </c>
    </row>
    <row r="31" customHeight="1" spans="1:5">
      <c r="A31" s="5" t="str">
        <f>"小抢救"</f>
        <v>小抢救</v>
      </c>
      <c r="B31" s="3">
        <v>120200003</v>
      </c>
      <c r="C31" s="4">
        <v>39</v>
      </c>
      <c r="D31" s="3" t="str">
        <f t="shared" si="6"/>
        <v>日</v>
      </c>
      <c r="E31" s="3" t="str">
        <f t="shared" si="7"/>
        <v>治疗费</v>
      </c>
    </row>
    <row r="32" customHeight="1" spans="1:5">
      <c r="A32" s="5" t="str">
        <f>"氧气吸入"</f>
        <v>氧气吸入</v>
      </c>
      <c r="B32" s="3">
        <v>120300001</v>
      </c>
      <c r="C32" s="4">
        <v>4</v>
      </c>
      <c r="D32" s="3" t="str">
        <f>"次"</f>
        <v>次</v>
      </c>
      <c r="E32" s="3" t="str">
        <f>"输氧费"</f>
        <v>输氧费</v>
      </c>
    </row>
    <row r="33" customHeight="1" spans="1:5">
      <c r="A33" s="5" t="str">
        <f>"鼻吸氧管"</f>
        <v>鼻吸氧管</v>
      </c>
      <c r="B33" s="3" t="str">
        <f>"120300001-1-2"</f>
        <v>120300001-1-2</v>
      </c>
      <c r="C33" s="4">
        <v>4.7</v>
      </c>
      <c r="D33" s="3" t="str">
        <f>"根"</f>
        <v>根</v>
      </c>
      <c r="E33" s="3" t="str">
        <f t="shared" ref="E33:E35" si="8">"材料费"</f>
        <v>材料费</v>
      </c>
    </row>
    <row r="34" customHeight="1" spans="1:5">
      <c r="A34" s="5" t="str">
        <f>"雾化面罩"</f>
        <v>雾化面罩</v>
      </c>
      <c r="B34" s="3" t="str">
        <f>"120300001-3"</f>
        <v>120300001-3</v>
      </c>
      <c r="C34" s="4">
        <v>26.3</v>
      </c>
      <c r="D34" s="3" t="str">
        <f>"口含式/面罩式"</f>
        <v>口含式/面罩式</v>
      </c>
      <c r="E34" s="3" t="str">
        <f t="shared" si="8"/>
        <v>材料费</v>
      </c>
    </row>
    <row r="35" customHeight="1" spans="1:5">
      <c r="A35" s="5" t="str">
        <f>"氧气面罩"</f>
        <v>氧气面罩</v>
      </c>
      <c r="B35" s="3" t="str">
        <f>"120300001-3-1"</f>
        <v>120300001-3-1</v>
      </c>
      <c r="C35" s="4">
        <v>37</v>
      </c>
      <c r="D35" s="3" t="str">
        <f>"张"</f>
        <v>张</v>
      </c>
      <c r="E35" s="3" t="str">
        <f t="shared" si="8"/>
        <v>材料费</v>
      </c>
    </row>
    <row r="36" customHeight="1" spans="1:5">
      <c r="A36" s="5" t="str">
        <f>"氧气吸入（持续吸氧）"</f>
        <v>氧气吸入（持续吸氧）</v>
      </c>
      <c r="B36" s="3" t="str">
        <f>"120300001-a"</f>
        <v>120300001-a</v>
      </c>
      <c r="C36" s="4">
        <v>65</v>
      </c>
      <c r="D36" s="3" t="str">
        <f>"日"</f>
        <v>日</v>
      </c>
      <c r="E36" s="3" t="str">
        <f>"输氧费"</f>
        <v>输氧费</v>
      </c>
    </row>
    <row r="37" customHeight="1" spans="1:5">
      <c r="A37" s="5" t="str">
        <f>"一次性使用采血器"</f>
        <v>一次性使用采血器</v>
      </c>
      <c r="B37" s="3" t="str">
        <f>"1204-3"</f>
        <v>1204-3</v>
      </c>
      <c r="C37" s="4">
        <v>2.6</v>
      </c>
      <c r="D37" s="3" t="str">
        <f>"1.8MM*0.81MM 21G"</f>
        <v>1.8MM*0.81MM 21G</v>
      </c>
      <c r="E37" s="3" t="str">
        <f t="shared" ref="E37:E44" si="9">"材料费"</f>
        <v>材料费</v>
      </c>
    </row>
    <row r="38" customHeight="1" spans="1:5">
      <c r="A38" s="5" t="str">
        <f>"一次性使用真空静脉血样采集容器"</f>
        <v>一次性使用真空静脉血样采集容器</v>
      </c>
      <c r="B38" s="3" t="str">
        <f>"1204-3-5"</f>
        <v>1204-3-5</v>
      </c>
      <c r="C38" s="4">
        <v>1.6</v>
      </c>
      <c r="D38" s="3" t="str">
        <f>"个"</f>
        <v>个</v>
      </c>
      <c r="E38" s="3" t="str">
        <f t="shared" si="9"/>
        <v>材料费</v>
      </c>
    </row>
    <row r="39" customHeight="1" spans="1:5">
      <c r="A39" s="5" t="str">
        <f>"一次性使用无菌注射器"</f>
        <v>一次性使用无菌注射器</v>
      </c>
      <c r="B39" s="3" t="str">
        <f>"1204-4-1"</f>
        <v>1204-4-1</v>
      </c>
      <c r="C39" s="4" t="str">
        <f t="shared" ref="C39:C43" si="10">"0.7"</f>
        <v>0.7</v>
      </c>
      <c r="D39" s="3" t="str">
        <f>"1ML"</f>
        <v>1ML</v>
      </c>
      <c r="E39" s="3" t="str">
        <f t="shared" si="9"/>
        <v>材料费</v>
      </c>
    </row>
    <row r="40" customHeight="1" spans="1:5">
      <c r="A40" s="5" t="str">
        <f>"一次性使用无菌注射器（10ml）"</f>
        <v>一次性使用无菌注射器（10ml）</v>
      </c>
      <c r="B40" s="3" t="str">
        <f>"1204-4-10"</f>
        <v>1204-4-10</v>
      </c>
      <c r="C40" s="4" t="str">
        <f t="shared" si="10"/>
        <v>0.7</v>
      </c>
      <c r="D40" s="3" t="str">
        <f>"10ml"</f>
        <v>10ml</v>
      </c>
      <c r="E40" s="3" t="str">
        <f t="shared" si="9"/>
        <v>材料费</v>
      </c>
    </row>
    <row r="41" customHeight="1" spans="1:5">
      <c r="A41" s="5" t="str">
        <f>"一次性使用无菌注射器(50ml)"</f>
        <v>一次性使用无菌注射器(50ml)</v>
      </c>
      <c r="B41" s="3" t="str">
        <f>"1204-4-4"</f>
        <v>1204-4-4</v>
      </c>
      <c r="C41" s="4">
        <v>2.2</v>
      </c>
      <c r="D41" s="3" t="str">
        <f>"50ML"</f>
        <v>50ML</v>
      </c>
      <c r="E41" s="3" t="str">
        <f t="shared" si="9"/>
        <v>材料费</v>
      </c>
    </row>
    <row r="42" customHeight="1" spans="1:5">
      <c r="A42" s="5" t="str">
        <f>"一次性使用无菌注射器(5ml)"</f>
        <v>一次性使用无菌注射器(5ml)</v>
      </c>
      <c r="B42" s="3" t="str">
        <f>"1204-4-55"</f>
        <v>1204-4-55</v>
      </c>
      <c r="C42" s="4" t="str">
        <f t="shared" si="10"/>
        <v>0.7</v>
      </c>
      <c r="D42" s="3" t="str">
        <f>"5ml"</f>
        <v>5ml</v>
      </c>
      <c r="E42" s="3" t="str">
        <f t="shared" si="9"/>
        <v>材料费</v>
      </c>
    </row>
    <row r="43" customHeight="1" spans="1:5">
      <c r="A43" s="5" t="str">
        <f>"一次性使用无菌注射器(2ml)"</f>
        <v>一次性使用无菌注射器(2ml)</v>
      </c>
      <c r="B43" s="3" t="str">
        <f>"1204-4-66"</f>
        <v>1204-4-66</v>
      </c>
      <c r="C43" s="4" t="str">
        <f t="shared" si="10"/>
        <v>0.7</v>
      </c>
      <c r="D43" s="3" t="str">
        <f>"2ml"</f>
        <v>2ml</v>
      </c>
      <c r="E43" s="3" t="str">
        <f t="shared" si="9"/>
        <v>材料费</v>
      </c>
    </row>
    <row r="44" customHeight="1" spans="1:5">
      <c r="A44" s="5" t="str">
        <f>"一次性使用无菌注射器(20ml)"</f>
        <v>一次性使用无菌注射器(20ml)</v>
      </c>
      <c r="B44" s="3" t="str">
        <f>"1204-4-99"</f>
        <v>1204-4-99</v>
      </c>
      <c r="C44" s="4">
        <v>1</v>
      </c>
      <c r="D44" s="3" t="str">
        <f>"20ml"</f>
        <v>20ml</v>
      </c>
      <c r="E44" s="3" t="str">
        <f t="shared" si="9"/>
        <v>材料费</v>
      </c>
    </row>
    <row r="45" customHeight="1" spans="1:5">
      <c r="A45" s="5" t="str">
        <f>"肌肉注射"</f>
        <v>肌肉注射</v>
      </c>
      <c r="B45" s="3">
        <v>120400001</v>
      </c>
      <c r="C45" s="4">
        <v>4</v>
      </c>
      <c r="D45" s="3" t="str">
        <f t="shared" ref="D45:D50" si="11">"次"</f>
        <v>次</v>
      </c>
      <c r="E45" s="3" t="str">
        <f t="shared" ref="E45:E47" si="12">"其他护理费"</f>
        <v>其他护理费</v>
      </c>
    </row>
    <row r="46" customHeight="1" spans="1:5">
      <c r="A46" s="5" t="str">
        <f>"皮内注射"</f>
        <v>皮内注射</v>
      </c>
      <c r="B46" s="3" t="str">
        <f>"120400001-2"</f>
        <v>120400001-2</v>
      </c>
      <c r="C46" s="4">
        <v>4</v>
      </c>
      <c r="D46" s="3">
        <v>1</v>
      </c>
      <c r="E46" s="3" t="str">
        <f t="shared" si="12"/>
        <v>其他护理费</v>
      </c>
    </row>
    <row r="47" customHeight="1" spans="1:5">
      <c r="A47" s="5" t="str">
        <f>"皮下注射"</f>
        <v>皮下注射</v>
      </c>
      <c r="B47" s="3" t="str">
        <f>"120400001-3"</f>
        <v>120400001-3</v>
      </c>
      <c r="C47" s="4">
        <v>4</v>
      </c>
      <c r="D47" s="3">
        <v>1</v>
      </c>
      <c r="E47" s="3" t="str">
        <f t="shared" si="12"/>
        <v>其他护理费</v>
      </c>
    </row>
    <row r="48" customHeight="1" spans="1:5">
      <c r="A48" s="5" t="str">
        <f>"静脉注射"</f>
        <v>静脉注射</v>
      </c>
      <c r="B48" s="3">
        <v>120400002</v>
      </c>
      <c r="C48" s="4">
        <v>5</v>
      </c>
      <c r="D48" s="3">
        <v>1</v>
      </c>
      <c r="E48" s="3" t="str">
        <f>"一般护理费"</f>
        <v>一般护理费</v>
      </c>
    </row>
    <row r="49" customHeight="1" spans="1:5">
      <c r="A49" s="5" t="str">
        <f>"心内注射"</f>
        <v>心内注射</v>
      </c>
      <c r="B49" s="3">
        <v>120400003</v>
      </c>
      <c r="C49" s="4">
        <v>5.2</v>
      </c>
      <c r="D49" s="3" t="str">
        <f t="shared" si="11"/>
        <v>次</v>
      </c>
      <c r="E49" s="3" t="str">
        <f t="shared" ref="E49:E51" si="13">"治疗费"</f>
        <v>治疗费</v>
      </c>
    </row>
    <row r="50" customHeight="1" spans="1:5">
      <c r="A50" s="5" t="str">
        <f>"动脉加压注射"</f>
        <v>动脉加压注射</v>
      </c>
      <c r="B50" s="3">
        <v>120400004</v>
      </c>
      <c r="C50" s="4">
        <v>5.2</v>
      </c>
      <c r="D50" s="3" t="str">
        <f t="shared" si="11"/>
        <v>次</v>
      </c>
      <c r="E50" s="3" t="str">
        <f t="shared" si="13"/>
        <v>治疗费</v>
      </c>
    </row>
    <row r="51" customHeight="1" spans="1:5">
      <c r="A51" s="5" t="str">
        <f>"皮下输液"</f>
        <v>皮下输液</v>
      </c>
      <c r="B51" s="3">
        <v>120400005</v>
      </c>
      <c r="C51" s="4">
        <v>2.6</v>
      </c>
      <c r="D51" s="3" t="str">
        <f>"组"</f>
        <v>组</v>
      </c>
      <c r="E51" s="3" t="str">
        <f t="shared" si="13"/>
        <v>治疗费</v>
      </c>
    </row>
    <row r="52" customHeight="1" spans="1:5">
      <c r="A52" s="5" t="str">
        <f>"静脉输液"</f>
        <v>静脉输液</v>
      </c>
      <c r="B52" s="3">
        <v>120400006</v>
      </c>
      <c r="C52" s="4">
        <v>8</v>
      </c>
      <c r="D52" s="3" t="str">
        <f>"次"</f>
        <v>次</v>
      </c>
      <c r="E52" s="3" t="str">
        <f t="shared" ref="E52:E57" si="14">"其他护理费"</f>
        <v>其他护理费</v>
      </c>
    </row>
    <row r="53" customHeight="1" spans="1:5">
      <c r="A53" s="5" t="str">
        <f>"一次性使用精密输液器"</f>
        <v>一次性使用精密输液器</v>
      </c>
      <c r="B53" s="3" t="str">
        <f>"120400006-13-1"</f>
        <v>120400006-13-1</v>
      </c>
      <c r="C53" s="4">
        <v>11</v>
      </c>
      <c r="D53" s="3" t="str">
        <f>"避光型"</f>
        <v>避光型</v>
      </c>
      <c r="E53" s="3" t="str">
        <f t="shared" ref="E53:E55" si="15">"材料费"</f>
        <v>材料费</v>
      </c>
    </row>
    <row r="54" customHeight="1" spans="1:5">
      <c r="A54" s="5" t="str">
        <f>"三通"</f>
        <v>三通</v>
      </c>
      <c r="B54" s="3" t="str">
        <f>"120400006-2"</f>
        <v>120400006-2</v>
      </c>
      <c r="C54" s="4">
        <v>4.7</v>
      </c>
      <c r="D54" s="3" t="str">
        <f>"个"</f>
        <v>个</v>
      </c>
      <c r="E54" s="3" t="str">
        <f t="shared" si="15"/>
        <v>材料费</v>
      </c>
    </row>
    <row r="55" customHeight="1" spans="1:5">
      <c r="A55" s="5" t="str">
        <f>"密闭式静脉留置针"</f>
        <v>密闭式静脉留置针</v>
      </c>
      <c r="B55" s="3" t="str">
        <f>"120400006-4"</f>
        <v>120400006-4</v>
      </c>
      <c r="C55" s="4">
        <v>17</v>
      </c>
      <c r="D55" s="3" t="str">
        <f>"18-24G"</f>
        <v>18-24G</v>
      </c>
      <c r="E55" s="3" t="str">
        <f t="shared" si="15"/>
        <v>材料费</v>
      </c>
    </row>
    <row r="56" customHeight="1" spans="1:5">
      <c r="A56" s="5" t="str">
        <f>"微量泵或输液泵加收"</f>
        <v>微量泵或输液泵加收</v>
      </c>
      <c r="B56" s="3" t="str">
        <f>"120400006-a"</f>
        <v>120400006-a</v>
      </c>
      <c r="C56" s="4" t="str">
        <f>"0.7"</f>
        <v>0.7</v>
      </c>
      <c r="D56" s="3">
        <v>1</v>
      </c>
      <c r="E56" s="3" t="str">
        <f t="shared" si="14"/>
        <v>其他护理费</v>
      </c>
    </row>
    <row r="57" customHeight="1" spans="1:5">
      <c r="A57" s="5" t="str">
        <f>"静脉输液每瓶加收"</f>
        <v>静脉输液每瓶加收</v>
      </c>
      <c r="B57" s="3" t="str">
        <f>"120400006-b"</f>
        <v>120400006-b</v>
      </c>
      <c r="C57" s="4">
        <v>1.3</v>
      </c>
      <c r="D57" s="3" t="str">
        <f>"-"</f>
        <v>-</v>
      </c>
      <c r="E57" s="3" t="str">
        <f t="shared" si="14"/>
        <v>其他护理费</v>
      </c>
    </row>
    <row r="58" customHeight="1" spans="1:5">
      <c r="A58" s="5" t="str">
        <f>"小儿静脉输液"</f>
        <v>小儿静脉输液</v>
      </c>
      <c r="B58" s="3">
        <v>120400007</v>
      </c>
      <c r="C58" s="4">
        <v>11</v>
      </c>
      <c r="D58" s="3" t="str">
        <f>"-"</f>
        <v>-</v>
      </c>
      <c r="E58" s="3" t="str">
        <f t="shared" ref="E58:E66" si="16">"治疗费"</f>
        <v>治疗费</v>
      </c>
    </row>
    <row r="59" customHeight="1" spans="1:5">
      <c r="A59" s="5" t="str">
        <f>"动静脉留置针(安全型)"</f>
        <v>动静脉留置针(安全型)</v>
      </c>
      <c r="B59" s="3" t="str">
        <f>"120400007-4"</f>
        <v>120400007-4</v>
      </c>
      <c r="C59" s="4">
        <v>27</v>
      </c>
      <c r="D59" s="3" t="str">
        <f>"支"</f>
        <v>支</v>
      </c>
      <c r="E59" s="3" t="str">
        <f>"材料费"</f>
        <v>材料费</v>
      </c>
    </row>
    <row r="60" customHeight="1" spans="1:5">
      <c r="A60" s="5" t="str">
        <f>"安舒妥伤口愈合快示格胶贴"</f>
        <v>安舒妥伤口愈合快示格胶贴</v>
      </c>
      <c r="B60" s="3" t="str">
        <f>"120400007-9"</f>
        <v>120400007-9</v>
      </c>
      <c r="C60" s="4">
        <v>4</v>
      </c>
      <c r="D60" s="3" t="str">
        <f>"张"</f>
        <v>张</v>
      </c>
      <c r="E60" s="3" t="str">
        <f>"材料费"</f>
        <v>材料费</v>
      </c>
    </row>
    <row r="61" customHeight="1" spans="1:5">
      <c r="A61" s="5" t="str">
        <f>"小儿静脉输液加收"</f>
        <v>小儿静脉输液加收</v>
      </c>
      <c r="B61" s="3" t="str">
        <f>"120400007-a"</f>
        <v>120400007-a</v>
      </c>
      <c r="C61" s="4">
        <v>1.3</v>
      </c>
      <c r="D61" s="3" t="str">
        <f t="shared" ref="D61:D64" si="17">"次"</f>
        <v>次</v>
      </c>
      <c r="E61" s="3" t="str">
        <f t="shared" si="16"/>
        <v>治疗费</v>
      </c>
    </row>
    <row r="62" customHeight="1" spans="1:5">
      <c r="A62" s="5" t="str">
        <f>"静脉高营养治疗"</f>
        <v>静脉高营养治疗</v>
      </c>
      <c r="B62" s="3">
        <v>120400008</v>
      </c>
      <c r="C62" s="4">
        <v>6.5</v>
      </c>
      <c r="D62" s="3" t="str">
        <f t="shared" si="17"/>
        <v>次</v>
      </c>
      <c r="E62" s="3" t="str">
        <f t="shared" si="16"/>
        <v>治疗费</v>
      </c>
    </row>
    <row r="63" customHeight="1" spans="1:5">
      <c r="A63" s="5" t="str">
        <f>"静脉穿刺置管术"</f>
        <v>静脉穿刺置管术</v>
      </c>
      <c r="B63" s="3">
        <v>120400010</v>
      </c>
      <c r="C63" s="4">
        <v>13</v>
      </c>
      <c r="D63" s="3" t="str">
        <f t="shared" si="17"/>
        <v>次</v>
      </c>
      <c r="E63" s="3" t="str">
        <f t="shared" si="16"/>
        <v>治疗费</v>
      </c>
    </row>
    <row r="64" customHeight="1" spans="1:5">
      <c r="A64" s="5" t="str">
        <f>"动脉穿刺置管术"</f>
        <v>动脉穿刺置管术</v>
      </c>
      <c r="B64" s="3">
        <v>120400012</v>
      </c>
      <c r="C64" s="4">
        <v>52</v>
      </c>
      <c r="D64" s="3" t="str">
        <f t="shared" si="17"/>
        <v>次</v>
      </c>
      <c r="E64" s="3" t="str">
        <f t="shared" si="16"/>
        <v>治疗费</v>
      </c>
    </row>
    <row r="65" customHeight="1" spans="1:5">
      <c r="A65" s="5" t="str">
        <f>"抗肿瘤化学药物配置"</f>
        <v>抗肿瘤化学药物配置</v>
      </c>
      <c r="B65" s="3">
        <v>120400013</v>
      </c>
      <c r="C65" s="4">
        <v>40</v>
      </c>
      <c r="D65" s="3" t="str">
        <f>"组"</f>
        <v>组</v>
      </c>
      <c r="E65" s="3" t="str">
        <f t="shared" si="16"/>
        <v>治疗费</v>
      </c>
    </row>
    <row r="66" customHeight="1" spans="1:5">
      <c r="A66" s="5" t="str">
        <f>"抗肿瘤化学药物配置(加收）"</f>
        <v>抗肿瘤化学药物配置(加收）</v>
      </c>
      <c r="B66" s="3" t="str">
        <f>"120400013-a"</f>
        <v>120400013-a</v>
      </c>
      <c r="C66" s="4">
        <v>7</v>
      </c>
      <c r="D66" s="3" t="str">
        <f>"组"</f>
        <v>组</v>
      </c>
      <c r="E66" s="3" t="str">
        <f t="shared" si="16"/>
        <v>治疗费</v>
      </c>
    </row>
    <row r="67" customHeight="1" spans="1:5">
      <c r="A67" s="5" t="str">
        <f>"大清创缝合"</f>
        <v>大清创缝合</v>
      </c>
      <c r="B67" s="3">
        <v>120500001</v>
      </c>
      <c r="C67" s="4">
        <v>91</v>
      </c>
      <c r="D67" s="3" t="str">
        <f t="shared" ref="D67:D72" si="18">"次"</f>
        <v>次</v>
      </c>
      <c r="E67" s="3" t="str">
        <f t="shared" ref="E67:E72" si="19">"手术费"</f>
        <v>手术费</v>
      </c>
    </row>
    <row r="68" customHeight="1" spans="1:5">
      <c r="A68" s="5" t="str">
        <f>"大清创"</f>
        <v>大清创</v>
      </c>
      <c r="B68" s="3" t="str">
        <f>"120500001-a"</f>
        <v>120500001-a</v>
      </c>
      <c r="C68" s="4">
        <v>39</v>
      </c>
      <c r="D68" s="3" t="str">
        <f t="shared" si="18"/>
        <v>次</v>
      </c>
      <c r="E68" s="3" t="str">
        <f>"治疗费"</f>
        <v>治疗费</v>
      </c>
    </row>
    <row r="69" customHeight="1" spans="1:5">
      <c r="A69" s="5" t="str">
        <f>"中清创缝合"</f>
        <v>中清创缝合</v>
      </c>
      <c r="B69" s="3">
        <v>120500002</v>
      </c>
      <c r="C69" s="4">
        <v>78</v>
      </c>
      <c r="D69" s="3" t="str">
        <f t="shared" si="18"/>
        <v>次</v>
      </c>
      <c r="E69" s="3" t="str">
        <f>"治疗费"</f>
        <v>治疗费</v>
      </c>
    </row>
    <row r="70" customHeight="1" spans="1:5">
      <c r="A70" s="5" t="str">
        <f>"中清创"</f>
        <v>中清创</v>
      </c>
      <c r="B70" s="3" t="str">
        <f>"120500002-a"</f>
        <v>120500002-a</v>
      </c>
      <c r="C70" s="4">
        <v>26</v>
      </c>
      <c r="D70" s="3" t="str">
        <f t="shared" si="18"/>
        <v>次</v>
      </c>
      <c r="E70" s="3" t="str">
        <f t="shared" si="19"/>
        <v>手术费</v>
      </c>
    </row>
    <row r="71" customHeight="1" spans="1:5">
      <c r="A71" s="5" t="str">
        <f>"小清创缝合"</f>
        <v>小清创缝合</v>
      </c>
      <c r="B71" s="3">
        <v>120500003</v>
      </c>
      <c r="C71" s="4">
        <v>65</v>
      </c>
      <c r="D71" s="3" t="str">
        <f t="shared" si="18"/>
        <v>次</v>
      </c>
      <c r="E71" s="3" t="str">
        <f t="shared" si="19"/>
        <v>手术费</v>
      </c>
    </row>
    <row r="72" customHeight="1" spans="1:5">
      <c r="A72" s="5" t="str">
        <f>"小清创"</f>
        <v>小清创</v>
      </c>
      <c r="B72" s="3" t="str">
        <f>"120500003-a"</f>
        <v>120500003-a</v>
      </c>
      <c r="C72" s="4">
        <v>13</v>
      </c>
      <c r="D72" s="3" t="str">
        <f t="shared" si="18"/>
        <v>次</v>
      </c>
      <c r="E72" s="3" t="str">
        <f t="shared" si="19"/>
        <v>手术费</v>
      </c>
    </row>
    <row r="73" customHeight="1" spans="1:5">
      <c r="A73" s="5" t="str">
        <f>"一次性使用负压引流器"</f>
        <v>一次性使用负压引流器</v>
      </c>
      <c r="B73" s="3" t="str">
        <f>"1206-1"</f>
        <v>1206-1</v>
      </c>
      <c r="C73" s="4">
        <v>4.7</v>
      </c>
      <c r="D73" s="3" t="str">
        <f>"宁云1600ml"</f>
        <v>宁云1600ml</v>
      </c>
      <c r="E73" s="3" t="str">
        <f t="shared" ref="E73:E78" si="20">"材料费"</f>
        <v>材料费</v>
      </c>
    </row>
    <row r="74" customHeight="1" spans="1:5">
      <c r="A74" s="5" t="str">
        <f>"3600253-弹力绷带"</f>
        <v>3600253-弹力绷带</v>
      </c>
      <c r="B74" s="3" t="str">
        <f>"1206-2-1"</f>
        <v>1206-2-1</v>
      </c>
      <c r="C74" s="4">
        <v>1.26</v>
      </c>
      <c r="D74" s="3" t="str">
        <f>"/"</f>
        <v>/</v>
      </c>
      <c r="E74" s="3" t="str">
        <f t="shared" si="20"/>
        <v>材料费</v>
      </c>
    </row>
    <row r="75" customHeight="1" spans="1:5">
      <c r="A75" s="5" t="str">
        <f>"3M伤口敷料（25cm*10cm）"</f>
        <v>3M伤口敷料（25cm*10cm）</v>
      </c>
      <c r="B75" s="3" t="str">
        <f>"1206-3-4"</f>
        <v>1206-3-4</v>
      </c>
      <c r="C75" s="4">
        <v>11</v>
      </c>
      <c r="D75" s="3" t="str">
        <f>"25cm*10cm 3671C"</f>
        <v>25cm*10cm 3671C</v>
      </c>
      <c r="E75" s="3" t="str">
        <f t="shared" si="20"/>
        <v>材料费</v>
      </c>
    </row>
    <row r="76" customHeight="1" spans="1:5">
      <c r="A76" s="5" t="str">
        <f>"3M伤口敷料（15cm*10cm ）"</f>
        <v>3M伤口敷料（15cm*10cm ）</v>
      </c>
      <c r="B76" s="3" t="str">
        <f>"1206-3-5"</f>
        <v>1206-3-5</v>
      </c>
      <c r="C76" s="4">
        <v>7.5</v>
      </c>
      <c r="D76" s="3" t="str">
        <f>"15cm*10cm 3669C"</f>
        <v>15cm*10cm 3669C</v>
      </c>
      <c r="E76" s="3" t="str">
        <f t="shared" si="20"/>
        <v>材料费</v>
      </c>
    </row>
    <row r="77" customHeight="1" spans="1:5">
      <c r="A77" s="5" t="str">
        <f>"3M伤口敷料（7cm*5cm）"</f>
        <v>3M伤口敷料（7cm*5cm）</v>
      </c>
      <c r="B77" s="3" t="str">
        <f>"1206-3-6"</f>
        <v>1206-3-6</v>
      </c>
      <c r="C77" s="4">
        <v>3.2</v>
      </c>
      <c r="D77" s="3" t="str">
        <f>"7cm*5cm 3662C"</f>
        <v>7cm*5cm 3662C</v>
      </c>
      <c r="E77" s="3" t="str">
        <f t="shared" si="20"/>
        <v>材料费</v>
      </c>
    </row>
    <row r="78" customHeight="1" spans="1:5">
      <c r="A78" s="5" t="str">
        <f>"灭菌凡士林纱布"</f>
        <v>灭菌凡士林纱布</v>
      </c>
      <c r="B78" s="3" t="str">
        <f>"1206-3-66"</f>
        <v>1206-3-66</v>
      </c>
      <c r="C78" s="4">
        <v>1.6</v>
      </c>
      <c r="D78" s="3" t="str">
        <f>"10*10"</f>
        <v>10*10</v>
      </c>
      <c r="E78" s="3" t="str">
        <f t="shared" si="20"/>
        <v>材料费</v>
      </c>
    </row>
    <row r="79" customHeight="1" spans="1:5">
      <c r="A79" s="5" t="str">
        <f>"特大换药"</f>
        <v>特大换药</v>
      </c>
      <c r="B79" s="3">
        <v>120600001</v>
      </c>
      <c r="C79" s="4">
        <v>39</v>
      </c>
      <c r="D79" s="3" t="str">
        <f t="shared" ref="D79:D96" si="21">"次"</f>
        <v>次</v>
      </c>
      <c r="E79" s="3" t="str">
        <f t="shared" ref="E79:E84" si="22">"治疗费"</f>
        <v>治疗费</v>
      </c>
    </row>
    <row r="80" customHeight="1" spans="1:5">
      <c r="A80" s="5" t="str">
        <f>"大换药"</f>
        <v>大换药</v>
      </c>
      <c r="B80" s="3">
        <v>120600002</v>
      </c>
      <c r="C80" s="4">
        <v>26</v>
      </c>
      <c r="D80" s="3" t="str">
        <f t="shared" si="21"/>
        <v>次</v>
      </c>
      <c r="E80" s="3" t="str">
        <f t="shared" si="22"/>
        <v>治疗费</v>
      </c>
    </row>
    <row r="81" customHeight="1" spans="1:5">
      <c r="A81" s="5" t="str">
        <f>"中换药"</f>
        <v>中换药</v>
      </c>
      <c r="B81" s="3">
        <v>120600003</v>
      </c>
      <c r="C81" s="4">
        <v>13</v>
      </c>
      <c r="D81" s="3" t="str">
        <f t="shared" si="21"/>
        <v>次</v>
      </c>
      <c r="E81" s="3" t="str">
        <f t="shared" si="22"/>
        <v>治疗费</v>
      </c>
    </row>
    <row r="82" customHeight="1" spans="1:5">
      <c r="A82" s="5" t="str">
        <f>"小换药"</f>
        <v>小换药</v>
      </c>
      <c r="B82" s="3">
        <v>120600004</v>
      </c>
      <c r="C82" s="4">
        <v>6.5</v>
      </c>
      <c r="D82" s="3" t="str">
        <f t="shared" si="21"/>
        <v>次</v>
      </c>
      <c r="E82" s="3" t="str">
        <f t="shared" si="22"/>
        <v>治疗费</v>
      </c>
    </row>
    <row r="83" customHeight="1" spans="1:5">
      <c r="A83" s="5" t="str">
        <f>"雾化吸入"</f>
        <v>雾化吸入</v>
      </c>
      <c r="B83" s="3">
        <v>120700001</v>
      </c>
      <c r="C83" s="4">
        <v>6.5</v>
      </c>
      <c r="D83" s="3" t="str">
        <f t="shared" si="21"/>
        <v>次</v>
      </c>
      <c r="E83" s="3" t="str">
        <f t="shared" si="22"/>
        <v>治疗费</v>
      </c>
    </row>
    <row r="84" customHeight="1" spans="1:5">
      <c r="A84" s="5" t="str">
        <f>"鼻饲管置管"</f>
        <v>鼻饲管置管</v>
      </c>
      <c r="B84" s="3">
        <v>120800001</v>
      </c>
      <c r="C84" s="4">
        <v>13</v>
      </c>
      <c r="D84" s="3" t="str">
        <f t="shared" si="21"/>
        <v>次</v>
      </c>
      <c r="E84" s="3" t="str">
        <f t="shared" si="22"/>
        <v>治疗费</v>
      </c>
    </row>
    <row r="85" customHeight="1" spans="1:5">
      <c r="A85" s="5" t="str">
        <f>"鼻饲管置管注食、注药加收"</f>
        <v>鼻饲管置管注食、注药加收</v>
      </c>
      <c r="B85" s="3" t="str">
        <f>"120800001-a"</f>
        <v>120800001-a</v>
      </c>
      <c r="C85" s="4">
        <v>2.6</v>
      </c>
      <c r="D85" s="3" t="str">
        <f t="shared" si="21"/>
        <v>次</v>
      </c>
      <c r="E85" s="3" t="str">
        <f>"其他护理费"</f>
        <v>其他护理费</v>
      </c>
    </row>
    <row r="86" customHeight="1" spans="1:5">
      <c r="A86" s="5" t="str">
        <f>"胃肠减压"</f>
        <v>胃肠减压</v>
      </c>
      <c r="B86" s="3">
        <v>120900001</v>
      </c>
      <c r="C86" s="4">
        <v>20</v>
      </c>
      <c r="D86" s="3" t="str">
        <f t="shared" si="21"/>
        <v>次</v>
      </c>
      <c r="E86" s="3" t="str">
        <f t="shared" ref="E86:E96" si="23">"治疗费"</f>
        <v>治疗费</v>
      </c>
    </row>
    <row r="87" customHeight="1" spans="1:5">
      <c r="A87" s="5" t="str">
        <f>"洗胃"</f>
        <v>洗胃</v>
      </c>
      <c r="B87" s="3">
        <v>121000001</v>
      </c>
      <c r="C87" s="4">
        <v>26</v>
      </c>
      <c r="D87" s="3" t="str">
        <f t="shared" si="21"/>
        <v>次</v>
      </c>
      <c r="E87" s="3" t="str">
        <f t="shared" si="23"/>
        <v>治疗费</v>
      </c>
    </row>
    <row r="88" customHeight="1" spans="1:5">
      <c r="A88" s="5" t="str">
        <f>"一般物理降温"</f>
        <v>一般物理降温</v>
      </c>
      <c r="B88" s="3">
        <v>121100001</v>
      </c>
      <c r="C88" s="4">
        <v>2.6</v>
      </c>
      <c r="D88" s="3" t="str">
        <f t="shared" si="21"/>
        <v>次</v>
      </c>
      <c r="E88" s="3" t="str">
        <f t="shared" si="23"/>
        <v>治疗费</v>
      </c>
    </row>
    <row r="89" customHeight="1" spans="1:5">
      <c r="A89" s="5" t="str">
        <f>"特殊物理降温"</f>
        <v>特殊物理降温</v>
      </c>
      <c r="B89" s="3">
        <v>121100002</v>
      </c>
      <c r="C89" s="4">
        <v>6.5</v>
      </c>
      <c r="D89" s="3" t="str">
        <f t="shared" si="21"/>
        <v>次</v>
      </c>
      <c r="E89" s="3" t="str">
        <f t="shared" si="23"/>
        <v>治疗费</v>
      </c>
    </row>
    <row r="90" customHeight="1" spans="1:5">
      <c r="A90" s="5" t="str">
        <f>"坐浴"</f>
        <v>坐浴</v>
      </c>
      <c r="B90" s="3">
        <v>121200001</v>
      </c>
      <c r="C90" s="4">
        <v>3.9</v>
      </c>
      <c r="D90" s="3" t="str">
        <f t="shared" si="21"/>
        <v>次</v>
      </c>
      <c r="E90" s="3" t="str">
        <f t="shared" si="23"/>
        <v>治疗费</v>
      </c>
    </row>
    <row r="91" customHeight="1" spans="1:5">
      <c r="A91" s="5" t="str">
        <f>"冷热湿敷"</f>
        <v>冷热湿敷</v>
      </c>
      <c r="B91" s="3">
        <v>121300001</v>
      </c>
      <c r="C91" s="4">
        <v>3.9</v>
      </c>
      <c r="D91" s="3" t="str">
        <f t="shared" si="21"/>
        <v>次</v>
      </c>
      <c r="E91" s="3" t="str">
        <f t="shared" si="23"/>
        <v>治疗费</v>
      </c>
    </row>
    <row r="92" customHeight="1" spans="1:5">
      <c r="A92" s="5" t="str">
        <f>"引流管冲洗"</f>
        <v>引流管冲洗</v>
      </c>
      <c r="B92" s="3">
        <v>121400001</v>
      </c>
      <c r="C92" s="4">
        <v>1.3</v>
      </c>
      <c r="D92" s="3" t="str">
        <f t="shared" si="21"/>
        <v>次</v>
      </c>
      <c r="E92" s="3" t="str">
        <f t="shared" si="23"/>
        <v>治疗费</v>
      </c>
    </row>
    <row r="93" customHeight="1" spans="1:5">
      <c r="A93" s="5" t="str">
        <f>"更换引流装置加收"</f>
        <v>更换引流装置加收</v>
      </c>
      <c r="B93" s="3" t="str">
        <f>"121400001-a"</f>
        <v>121400001-a</v>
      </c>
      <c r="C93" s="4">
        <v>2.6</v>
      </c>
      <c r="D93" s="3" t="str">
        <f t="shared" si="21"/>
        <v>次</v>
      </c>
      <c r="E93" s="3" t="str">
        <f t="shared" si="23"/>
        <v>治疗费</v>
      </c>
    </row>
    <row r="94" customHeight="1" spans="1:5">
      <c r="A94" s="5" t="str">
        <f>"灌肠"</f>
        <v>灌肠</v>
      </c>
      <c r="B94" s="3">
        <v>121500001</v>
      </c>
      <c r="C94" s="4">
        <v>13</v>
      </c>
      <c r="D94" s="3" t="str">
        <f t="shared" si="21"/>
        <v>次</v>
      </c>
      <c r="E94" s="3" t="str">
        <f t="shared" si="23"/>
        <v>治疗费</v>
      </c>
    </row>
    <row r="95" customHeight="1" spans="1:5">
      <c r="A95" s="5" t="str">
        <f>"清洁灌肠"</f>
        <v>清洁灌肠</v>
      </c>
      <c r="B95" s="3">
        <v>121500002</v>
      </c>
      <c r="C95" s="4">
        <v>26</v>
      </c>
      <c r="D95" s="3" t="str">
        <f t="shared" si="21"/>
        <v>次</v>
      </c>
      <c r="E95" s="3" t="str">
        <f t="shared" si="23"/>
        <v>治疗费</v>
      </c>
    </row>
    <row r="96" customHeight="1" spans="1:5">
      <c r="A96" s="5" t="str">
        <f>"导尿"</f>
        <v>导尿</v>
      </c>
      <c r="B96" s="3">
        <v>121600001</v>
      </c>
      <c r="C96" s="4">
        <v>5.2</v>
      </c>
      <c r="D96" s="3" t="str">
        <f t="shared" si="21"/>
        <v>次</v>
      </c>
      <c r="E96" s="3" t="str">
        <f t="shared" si="23"/>
        <v>治疗费</v>
      </c>
    </row>
    <row r="97" customHeight="1" spans="1:5">
      <c r="A97" s="5" t="str">
        <f>"一次性使用导尿包"</f>
        <v>一次性使用导尿包</v>
      </c>
      <c r="B97" s="3" t="str">
        <f>"121600001-1"</f>
        <v>121600001-1</v>
      </c>
      <c r="C97" s="4">
        <v>21</v>
      </c>
      <c r="D97" s="3" t="str">
        <f>"双腔 6F-30F"</f>
        <v>双腔 6F-30F</v>
      </c>
      <c r="E97" s="3" t="str">
        <f>"材料费"</f>
        <v>材料费</v>
      </c>
    </row>
    <row r="98" customHeight="1" spans="1:5">
      <c r="A98" s="5" t="str">
        <f>"一次性使用无菌导尿管"</f>
        <v>一次性使用无菌导尿管</v>
      </c>
      <c r="B98" s="3" t="str">
        <f>"121600001-2-2"</f>
        <v>121600001-2-2</v>
      </c>
      <c r="C98" s="4">
        <v>12.6</v>
      </c>
      <c r="D98" s="3" t="str">
        <f>"根"</f>
        <v>根</v>
      </c>
      <c r="E98" s="3" t="str">
        <f>"材料费"</f>
        <v>材料费</v>
      </c>
    </row>
    <row r="99" customHeight="1" spans="1:5">
      <c r="A99" s="5" t="str">
        <f>"留置导尿"</f>
        <v>留置导尿</v>
      </c>
      <c r="B99" s="3" t="str">
        <f>"121600001-a"</f>
        <v>121600001-a</v>
      </c>
      <c r="C99" s="4">
        <v>1.3</v>
      </c>
      <c r="D99" s="3" t="str">
        <f>"日"</f>
        <v>日</v>
      </c>
      <c r="E99" s="3" t="str">
        <f t="shared" ref="E99:E102" si="24">"治疗费"</f>
        <v>治疗费</v>
      </c>
    </row>
    <row r="100" customHeight="1" spans="1:5">
      <c r="A100" s="5" t="str">
        <f>"肛管排气"</f>
        <v>肛管排气</v>
      </c>
      <c r="B100" s="3">
        <v>121700001</v>
      </c>
      <c r="C100" s="4">
        <v>3.9</v>
      </c>
      <c r="D100" s="3" t="str">
        <f t="shared" ref="D100:D112" si="25">"次"</f>
        <v>次</v>
      </c>
      <c r="E100" s="3" t="str">
        <f t="shared" si="24"/>
        <v>治疗费</v>
      </c>
    </row>
    <row r="101" customHeight="1" spans="1:5">
      <c r="A101" s="5" t="str">
        <f>"婴幼儿健康体检"</f>
        <v>婴幼儿健康体检</v>
      </c>
      <c r="B101" s="3">
        <v>130100001</v>
      </c>
      <c r="C101" s="4">
        <v>5</v>
      </c>
      <c r="D101" s="3">
        <v>1</v>
      </c>
      <c r="E101" s="3" t="str">
        <f>"体检费"</f>
        <v>体检费</v>
      </c>
    </row>
    <row r="102" customHeight="1" spans="1:5">
      <c r="A102" s="5" t="str">
        <f>"儿童龋齿预防保健"</f>
        <v>儿童龋齿预防保健</v>
      </c>
      <c r="B102" s="3">
        <v>130200001</v>
      </c>
      <c r="C102" s="4">
        <v>1</v>
      </c>
      <c r="D102" s="3" t="str">
        <f t="shared" si="25"/>
        <v>次</v>
      </c>
      <c r="E102" s="3" t="str">
        <f t="shared" si="24"/>
        <v>治疗费</v>
      </c>
    </row>
    <row r="103" customHeight="1" spans="1:5">
      <c r="A103" s="5" t="str">
        <f>"家庭巡诊"</f>
        <v>家庭巡诊</v>
      </c>
      <c r="B103" s="3">
        <v>130300001</v>
      </c>
      <c r="C103" s="4">
        <v>20</v>
      </c>
      <c r="D103" s="3" t="str">
        <f t="shared" si="25"/>
        <v>次</v>
      </c>
      <c r="E103" s="3" t="str">
        <f t="shared" ref="E103:E112" si="26">"服务收入"</f>
        <v>服务收入</v>
      </c>
    </row>
    <row r="104" customHeight="1" spans="1:5">
      <c r="A104" s="5" t="str">
        <f>"围产保健访视"</f>
        <v>围产保健访视</v>
      </c>
      <c r="B104" s="3">
        <v>130400001</v>
      </c>
      <c r="C104" s="4">
        <v>10</v>
      </c>
      <c r="D104" s="3" t="str">
        <f t="shared" si="25"/>
        <v>次</v>
      </c>
      <c r="E104" s="3" t="str">
        <f t="shared" si="26"/>
        <v>服务收入</v>
      </c>
    </row>
    <row r="105" customHeight="1" spans="1:5">
      <c r="A105" s="5" t="str">
        <f>"传染病访视"</f>
        <v>传染病访视</v>
      </c>
      <c r="B105" s="3">
        <v>130500001</v>
      </c>
      <c r="C105" s="4">
        <v>10</v>
      </c>
      <c r="D105" s="3" t="str">
        <f t="shared" si="25"/>
        <v>次</v>
      </c>
      <c r="E105" s="3" t="str">
        <f t="shared" si="26"/>
        <v>服务收入</v>
      </c>
    </row>
    <row r="106" customHeight="1" spans="1:5">
      <c r="A106" s="5" t="str">
        <f>"家庭病床建床费"</f>
        <v>家庭病床建床费</v>
      </c>
      <c r="B106" s="3">
        <v>130600001</v>
      </c>
      <c r="C106" s="4">
        <v>50</v>
      </c>
      <c r="D106" s="3" t="str">
        <f t="shared" si="25"/>
        <v>次</v>
      </c>
      <c r="E106" s="3" t="str">
        <f t="shared" si="26"/>
        <v>服务收入</v>
      </c>
    </row>
    <row r="107" customHeight="1" spans="1:5">
      <c r="A107" s="5" t="str">
        <f>"家庭病床巡诊费"</f>
        <v>家庭病床巡诊费</v>
      </c>
      <c r="B107" s="3">
        <v>130600002</v>
      </c>
      <c r="C107" s="4">
        <v>30</v>
      </c>
      <c r="D107" s="3" t="str">
        <f t="shared" si="25"/>
        <v>次</v>
      </c>
      <c r="E107" s="3" t="str">
        <f t="shared" si="26"/>
        <v>服务收入</v>
      </c>
    </row>
    <row r="108" customHeight="1" spans="1:5">
      <c r="A108" s="5" t="str">
        <f>"出诊费"</f>
        <v>出诊费</v>
      </c>
      <c r="B108" s="3">
        <v>130700001</v>
      </c>
      <c r="C108" s="4">
        <v>40</v>
      </c>
      <c r="D108" s="3" t="str">
        <f t="shared" si="25"/>
        <v>次</v>
      </c>
      <c r="E108" s="3" t="str">
        <f t="shared" si="26"/>
        <v>服务收入</v>
      </c>
    </row>
    <row r="109" customHeight="1" spans="1:5">
      <c r="A109" s="5" t="str">
        <f>"出诊费（副高以上职称）"</f>
        <v>出诊费（副高以上职称）</v>
      </c>
      <c r="B109" s="3" t="str">
        <f>"130700001-a"</f>
        <v>130700001-a</v>
      </c>
      <c r="C109" s="4">
        <v>55</v>
      </c>
      <c r="D109" s="3" t="str">
        <f t="shared" si="25"/>
        <v>次</v>
      </c>
      <c r="E109" s="3" t="str">
        <f t="shared" si="26"/>
        <v>服务收入</v>
      </c>
    </row>
    <row r="110" customHeight="1" spans="1:5">
      <c r="A110" s="5" t="str">
        <f>"建立健康档案"</f>
        <v>建立健康档案</v>
      </c>
      <c r="B110" s="3">
        <v>130800001</v>
      </c>
      <c r="C110" s="4">
        <v>2</v>
      </c>
      <c r="D110" s="3" t="str">
        <f t="shared" si="25"/>
        <v>次</v>
      </c>
      <c r="E110" s="3" t="str">
        <f t="shared" si="26"/>
        <v>服务收入</v>
      </c>
    </row>
    <row r="111" customHeight="1" spans="1:5">
      <c r="A111" s="5" t="str">
        <f>"健康咨询"</f>
        <v>健康咨询</v>
      </c>
      <c r="B111" s="3">
        <v>130900001</v>
      </c>
      <c r="C111" s="4">
        <v>5</v>
      </c>
      <c r="D111" s="3" t="str">
        <f t="shared" si="25"/>
        <v>次</v>
      </c>
      <c r="E111" s="3" t="str">
        <f t="shared" si="26"/>
        <v>服务收入</v>
      </c>
    </row>
    <row r="112" customHeight="1" spans="1:5">
      <c r="A112" s="5" t="str">
        <f>"疾病健康教育"</f>
        <v>疾病健康教育</v>
      </c>
      <c r="B112" s="3">
        <v>130900002</v>
      </c>
      <c r="C112" s="4">
        <v>2</v>
      </c>
      <c r="D112" s="3" t="str">
        <f t="shared" si="25"/>
        <v>次</v>
      </c>
      <c r="E112" s="3" t="str">
        <f t="shared" si="26"/>
        <v>服务收入</v>
      </c>
    </row>
    <row r="113" customHeight="1" spans="1:5">
      <c r="A113" s="5" t="str">
        <f>"一般诊疗费"</f>
        <v>一般诊疗费</v>
      </c>
      <c r="B113" s="3">
        <v>1311</v>
      </c>
      <c r="C113" s="4">
        <v>10</v>
      </c>
      <c r="D113" s="3">
        <v>1</v>
      </c>
      <c r="E113" s="3" t="str">
        <f>"一般诊疗费"</f>
        <v>一般诊疗费</v>
      </c>
    </row>
    <row r="114" customHeight="1" spans="1:5">
      <c r="A114" s="5" t="str">
        <f>"主任医师一般诊疗费"</f>
        <v>主任医师一般诊疗费</v>
      </c>
      <c r="B114" s="3">
        <v>131100001</v>
      </c>
      <c r="C114" s="4">
        <v>23</v>
      </c>
      <c r="D114" s="3" t="str">
        <f t="shared" ref="D114:D117" si="27">"次"</f>
        <v>次</v>
      </c>
      <c r="E114" s="3" t="str">
        <f>"诊查费"</f>
        <v>诊查费</v>
      </c>
    </row>
    <row r="115" customHeight="1" spans="1:5">
      <c r="A115" s="5" t="str">
        <f>"副主任医师一般诊疗费"</f>
        <v>副主任医师一般诊疗费</v>
      </c>
      <c r="B115" s="3">
        <v>131100002</v>
      </c>
      <c r="C115" s="4">
        <v>14</v>
      </c>
      <c r="D115" s="3" t="str">
        <f t="shared" si="27"/>
        <v>次</v>
      </c>
      <c r="E115" s="3" t="str">
        <f>"诊查费"</f>
        <v>诊查费</v>
      </c>
    </row>
    <row r="116" customHeight="1" spans="1:5">
      <c r="A116" s="5" t="str">
        <f>"尸体料理"</f>
        <v>尸体料理</v>
      </c>
      <c r="B116" s="3">
        <v>140100001</v>
      </c>
      <c r="C116" s="4">
        <v>60</v>
      </c>
      <c r="D116" s="3" t="str">
        <f t="shared" si="27"/>
        <v>次</v>
      </c>
      <c r="E116" s="3" t="str">
        <f t="shared" ref="E116:E119" si="28">"其他收入"</f>
        <v>其他收入</v>
      </c>
    </row>
    <row r="117" customHeight="1" spans="1:5">
      <c r="A117" s="5" t="str">
        <f>"特殊传染病人尸体料理加收"</f>
        <v>特殊传染病人尸体料理加收</v>
      </c>
      <c r="B117" s="3" t="str">
        <f>"140100001-a"</f>
        <v>140100001-a</v>
      </c>
      <c r="C117" s="4">
        <v>50</v>
      </c>
      <c r="D117" s="3" t="str">
        <f t="shared" si="27"/>
        <v>次</v>
      </c>
      <c r="E117" s="3" t="str">
        <f t="shared" si="28"/>
        <v>其他收入</v>
      </c>
    </row>
    <row r="118" customHeight="1" spans="1:5">
      <c r="A118" s="5" t="str">
        <f>"尸体存放"</f>
        <v>尸体存放</v>
      </c>
      <c r="B118" s="3">
        <v>140100003</v>
      </c>
      <c r="C118" s="4">
        <v>20</v>
      </c>
      <c r="D118" s="3" t="str">
        <f>"日"</f>
        <v>日</v>
      </c>
      <c r="E118" s="3" t="str">
        <f t="shared" si="28"/>
        <v>其他收入</v>
      </c>
    </row>
    <row r="119" customHeight="1" spans="1:5">
      <c r="A119" s="5" t="str">
        <f>"离体残肢处理"</f>
        <v>离体残肢处理</v>
      </c>
      <c r="B119" s="3">
        <v>140100004</v>
      </c>
      <c r="C119" s="4">
        <v>20</v>
      </c>
      <c r="D119" s="3" t="str">
        <f t="shared" ref="D119:D127" si="29">"次"</f>
        <v>次</v>
      </c>
      <c r="E119" s="3" t="str">
        <f t="shared" si="28"/>
        <v>其他收入</v>
      </c>
    </row>
    <row r="120" customHeight="1" spans="1:5">
      <c r="A120" s="5" t="str">
        <f>"一次性巾单"</f>
        <v>一次性巾单</v>
      </c>
      <c r="B120" s="3">
        <v>150000005</v>
      </c>
      <c r="C120" s="4">
        <v>6.84</v>
      </c>
      <c r="D120" s="3" t="str">
        <f>"80*32*45"</f>
        <v>80*32*45</v>
      </c>
      <c r="E120" s="3" t="str">
        <f>"材料费"</f>
        <v>材料费</v>
      </c>
    </row>
    <row r="121" customHeight="1" spans="1:5">
      <c r="A121" s="5" t="str">
        <f>"X线透视检查使用影像增强器或电视屏加收"</f>
        <v>X线透视检查使用影像增强器或电视屏加收</v>
      </c>
      <c r="B121" s="3" t="str">
        <f>"210101-a"</f>
        <v>210101-a</v>
      </c>
      <c r="C121" s="4">
        <v>5</v>
      </c>
      <c r="D121" s="3" t="str">
        <f t="shared" si="29"/>
        <v>次</v>
      </c>
      <c r="E121" s="3" t="str">
        <f t="shared" ref="E121:E150" si="30">"放射费"</f>
        <v>放射费</v>
      </c>
    </row>
    <row r="122" customHeight="1" spans="1:5">
      <c r="A122" s="5" t="str">
        <f>"普通透视"</f>
        <v>普通透视</v>
      </c>
      <c r="B122" s="3">
        <v>210101001</v>
      </c>
      <c r="C122" s="4">
        <v>5</v>
      </c>
      <c r="D122" s="3" t="str">
        <f>"每个部位"</f>
        <v>每个部位</v>
      </c>
      <c r="E122" s="3" t="str">
        <f t="shared" si="30"/>
        <v>放射费</v>
      </c>
    </row>
    <row r="123" customHeight="1" spans="1:5">
      <c r="A123" s="5" t="str">
        <f>"食管钡餐透视"</f>
        <v>食管钡餐透视</v>
      </c>
      <c r="B123" s="3">
        <v>210101002</v>
      </c>
      <c r="C123" s="4">
        <v>6</v>
      </c>
      <c r="D123" s="3" t="str">
        <f t="shared" si="29"/>
        <v>次</v>
      </c>
      <c r="E123" s="3" t="str">
        <f t="shared" si="30"/>
        <v>放射费</v>
      </c>
    </row>
    <row r="124" customHeight="1" spans="1:5">
      <c r="A124" s="5" t="str">
        <f>"床旁透视与术中透视"</f>
        <v>床旁透视与术中透视</v>
      </c>
      <c r="B124" s="3">
        <v>210101003</v>
      </c>
      <c r="C124" s="4">
        <v>20</v>
      </c>
      <c r="D124" s="3" t="str">
        <f t="shared" si="29"/>
        <v>次</v>
      </c>
      <c r="E124" s="3" t="str">
        <f t="shared" si="30"/>
        <v>放射费</v>
      </c>
    </row>
    <row r="125" customHeight="1" spans="1:5">
      <c r="A125" s="5" t="str">
        <f>"一张胶片多次曝光加收，最多不超过5次"</f>
        <v>一张胶片多次曝光加收，最多不超过5次</v>
      </c>
      <c r="B125" s="3" t="str">
        <f>"210102-a"</f>
        <v>210102-a</v>
      </c>
      <c r="C125" s="4">
        <v>3</v>
      </c>
      <c r="D125" s="3" t="str">
        <f t="shared" si="29"/>
        <v>次</v>
      </c>
      <c r="E125" s="3" t="str">
        <f t="shared" si="30"/>
        <v>放射费</v>
      </c>
    </row>
    <row r="126" customHeight="1" spans="1:5">
      <c r="A126" s="5" t="str">
        <f>"加滤线器计费加收"</f>
        <v>加滤线器计费加收</v>
      </c>
      <c r="B126" s="3" t="str">
        <f>"210102-b"</f>
        <v>210102-b</v>
      </c>
      <c r="C126" s="4">
        <v>5</v>
      </c>
      <c r="D126" s="3" t="str">
        <f t="shared" si="29"/>
        <v>次</v>
      </c>
      <c r="E126" s="3" t="str">
        <f t="shared" si="30"/>
        <v>放射费</v>
      </c>
    </row>
    <row r="127" customHeight="1" spans="1:5">
      <c r="A127" s="5" t="str">
        <f>"床旁摄片加收"</f>
        <v>床旁摄片加收</v>
      </c>
      <c r="B127" s="3" t="str">
        <f>"210102-d"</f>
        <v>210102-d</v>
      </c>
      <c r="C127" s="4">
        <v>8</v>
      </c>
      <c r="D127" s="3" t="str">
        <f t="shared" si="29"/>
        <v>次</v>
      </c>
      <c r="E127" s="3" t="str">
        <f t="shared" si="30"/>
        <v>放射费</v>
      </c>
    </row>
    <row r="128" customHeight="1" spans="1:5">
      <c r="A128" s="5" t="str">
        <f>"X线摄影5×7吋"</f>
        <v>X线摄影5×7吋</v>
      </c>
      <c r="B128" s="3">
        <v>210102001</v>
      </c>
      <c r="C128" s="4">
        <v>9</v>
      </c>
      <c r="D128" s="3" t="str">
        <f t="shared" ref="D128:D131" si="31">"片数"</f>
        <v>片数</v>
      </c>
      <c r="E128" s="3" t="str">
        <f t="shared" si="30"/>
        <v>放射费</v>
      </c>
    </row>
    <row r="129" customHeight="1" spans="1:5">
      <c r="A129" s="5" t="str">
        <f>"X线摄影5×7吋感绿片加收"</f>
        <v>X线摄影5×7吋感绿片加收</v>
      </c>
      <c r="B129" s="3" t="str">
        <f>"210102001-a"</f>
        <v>210102001-a</v>
      </c>
      <c r="C129" s="4">
        <v>5</v>
      </c>
      <c r="D129" s="3" t="str">
        <f t="shared" si="31"/>
        <v>片数</v>
      </c>
      <c r="E129" s="3" t="str">
        <f t="shared" si="30"/>
        <v>放射费</v>
      </c>
    </row>
    <row r="130" customHeight="1" spans="1:5">
      <c r="A130" s="5" t="str">
        <f>"X线摄影8×10吋"</f>
        <v>X线摄影8×10吋</v>
      </c>
      <c r="B130" s="3">
        <v>210102002</v>
      </c>
      <c r="C130" s="4">
        <v>12</v>
      </c>
      <c r="D130" s="3" t="str">
        <f t="shared" si="31"/>
        <v>片数</v>
      </c>
      <c r="E130" s="3" t="str">
        <f t="shared" si="30"/>
        <v>放射费</v>
      </c>
    </row>
    <row r="131" customHeight="1" spans="1:5">
      <c r="A131" s="5" t="str">
        <f>"X线摄影8×10吋感绿片加收"</f>
        <v>X线摄影8×10吋感绿片加收</v>
      </c>
      <c r="B131" s="3" t="str">
        <f>"210102002-a"</f>
        <v>210102002-a</v>
      </c>
      <c r="C131" s="4">
        <v>6</v>
      </c>
      <c r="D131" s="3" t="str">
        <f t="shared" si="31"/>
        <v>片数</v>
      </c>
      <c r="E131" s="3" t="str">
        <f t="shared" si="30"/>
        <v>放射费</v>
      </c>
    </row>
    <row r="132" customHeight="1" spans="1:5">
      <c r="A132" s="5" t="str">
        <f>"X线摄影7×17吋"</f>
        <v>X线摄影7×17吋</v>
      </c>
      <c r="B132" s="3" t="str">
        <f>"210102003-1"</f>
        <v>210102003-1</v>
      </c>
      <c r="C132" s="4">
        <v>16</v>
      </c>
      <c r="D132" s="3">
        <v>1</v>
      </c>
      <c r="E132" s="3" t="str">
        <f t="shared" si="30"/>
        <v>放射费</v>
      </c>
    </row>
    <row r="133" customHeight="1" spans="1:5">
      <c r="A133" s="5" t="str">
        <f>"X线摄影10×12吋"</f>
        <v>X线摄影10×12吋</v>
      </c>
      <c r="B133" s="3" t="str">
        <f>"210102003-2"</f>
        <v>210102003-2</v>
      </c>
      <c r="C133" s="4">
        <v>16</v>
      </c>
      <c r="D133" s="3" t="str">
        <f t="shared" ref="D133:D143" si="32">"片数"</f>
        <v>片数</v>
      </c>
      <c r="E133" s="3" t="str">
        <f t="shared" si="30"/>
        <v>放射费</v>
      </c>
    </row>
    <row r="134" customHeight="1" spans="1:5">
      <c r="A134" s="5" t="str">
        <f>"X线摄影10×12吋感绿片加收"</f>
        <v>X线摄影10×12吋感绿片加收</v>
      </c>
      <c r="B134" s="3" t="str">
        <f>"210102003-a-1"</f>
        <v>210102003-a-1</v>
      </c>
      <c r="C134" s="4">
        <v>8</v>
      </c>
      <c r="D134" s="3">
        <v>1</v>
      </c>
      <c r="E134" s="3" t="str">
        <f t="shared" si="30"/>
        <v>放射费</v>
      </c>
    </row>
    <row r="135" customHeight="1" spans="1:5">
      <c r="A135" s="5" t="str">
        <f>"X线摄影7×17吋感绿片加收"</f>
        <v>X线摄影7×17吋感绿片加收</v>
      </c>
      <c r="B135" s="3" t="str">
        <f>"210102003-a-2"</f>
        <v>210102003-a-2</v>
      </c>
      <c r="C135" s="4">
        <v>8</v>
      </c>
      <c r="D135" s="3">
        <v>1</v>
      </c>
      <c r="E135" s="3" t="str">
        <f t="shared" si="30"/>
        <v>放射费</v>
      </c>
    </row>
    <row r="136" customHeight="1" spans="1:5">
      <c r="A136" s="5" t="str">
        <f>"X线摄影11×14吋"</f>
        <v>X线摄影11×14吋</v>
      </c>
      <c r="B136" s="3">
        <v>210102004</v>
      </c>
      <c r="C136" s="4">
        <v>20</v>
      </c>
      <c r="D136" s="3" t="str">
        <f t="shared" si="32"/>
        <v>片数</v>
      </c>
      <c r="E136" s="3" t="str">
        <f t="shared" si="30"/>
        <v>放射费</v>
      </c>
    </row>
    <row r="137" customHeight="1" spans="1:5">
      <c r="A137" s="5" t="str">
        <f>"7×17吋感绿片加收"</f>
        <v>7×17吋感绿片加收</v>
      </c>
      <c r="B137" s="3" t="str">
        <f>"210102004-a-1"</f>
        <v>210102004-a-1</v>
      </c>
      <c r="C137" s="4">
        <v>10</v>
      </c>
      <c r="D137" s="3" t="str">
        <f>"片"</f>
        <v>片</v>
      </c>
      <c r="E137" s="3" t="str">
        <f t="shared" si="30"/>
        <v>放射费</v>
      </c>
    </row>
    <row r="138" customHeight="1" spans="1:5">
      <c r="A138" s="5" t="str">
        <f>"X线摄影11×14吋感绿片加收"</f>
        <v>X线摄影11×14吋感绿片加收</v>
      </c>
      <c r="B138" s="3" t="str">
        <f>"210102004-a-2"</f>
        <v>210102004-a-2</v>
      </c>
      <c r="C138" s="4">
        <v>10</v>
      </c>
      <c r="D138" s="3" t="str">
        <f t="shared" si="32"/>
        <v>片数</v>
      </c>
      <c r="E138" s="3" t="str">
        <f t="shared" si="30"/>
        <v>放射费</v>
      </c>
    </row>
    <row r="139" customHeight="1" spans="1:5">
      <c r="A139" s="5" t="str">
        <f>"X线摄影12×15吋"</f>
        <v>X线摄影12×15吋</v>
      </c>
      <c r="B139" s="3">
        <v>210102005</v>
      </c>
      <c r="C139" s="4">
        <v>24</v>
      </c>
      <c r="D139" s="3" t="str">
        <f t="shared" si="32"/>
        <v>片数</v>
      </c>
      <c r="E139" s="3" t="str">
        <f t="shared" si="30"/>
        <v>放射费</v>
      </c>
    </row>
    <row r="140" customHeight="1" spans="1:5">
      <c r="A140" s="5" t="str">
        <f>"X线摄影12×15吋感绿片加收"</f>
        <v>X线摄影12×15吋感绿片加收</v>
      </c>
      <c r="B140" s="3" t="str">
        <f>"210102005-a"</f>
        <v>210102005-a</v>
      </c>
      <c r="C140" s="4">
        <v>12</v>
      </c>
      <c r="D140" s="3" t="str">
        <f t="shared" si="32"/>
        <v>片数</v>
      </c>
      <c r="E140" s="3" t="str">
        <f t="shared" si="30"/>
        <v>放射费</v>
      </c>
    </row>
    <row r="141" customHeight="1" spans="1:5">
      <c r="A141" s="5" t="str">
        <f>"X线摄影14×14吋"</f>
        <v>X线摄影14×14吋</v>
      </c>
      <c r="B141" s="3">
        <v>210102006</v>
      </c>
      <c r="C141" s="4">
        <v>27</v>
      </c>
      <c r="D141" s="3" t="str">
        <f t="shared" si="32"/>
        <v>片数</v>
      </c>
      <c r="E141" s="3" t="str">
        <f t="shared" si="30"/>
        <v>放射费</v>
      </c>
    </row>
    <row r="142" customHeight="1" spans="1:5">
      <c r="A142" s="5" t="str">
        <f>"X线摄影14×14吋感绿片加收"</f>
        <v>X线摄影14×14吋感绿片加收</v>
      </c>
      <c r="B142" s="3" t="str">
        <f>"210102006-a"</f>
        <v>210102006-a</v>
      </c>
      <c r="C142" s="4">
        <v>14</v>
      </c>
      <c r="D142" s="3" t="str">
        <f t="shared" si="32"/>
        <v>片数</v>
      </c>
      <c r="E142" s="3" t="str">
        <f t="shared" si="30"/>
        <v>放射费</v>
      </c>
    </row>
    <row r="143" customHeight="1" spans="1:5">
      <c r="A143" s="5" t="str">
        <f>"X线摄影14×17吋"</f>
        <v>X线摄影14×17吋</v>
      </c>
      <c r="B143" s="3">
        <v>210102007</v>
      </c>
      <c r="C143" s="4">
        <v>27</v>
      </c>
      <c r="D143" s="3" t="str">
        <f t="shared" si="32"/>
        <v>片数</v>
      </c>
      <c r="E143" s="3" t="str">
        <f t="shared" si="30"/>
        <v>放射费</v>
      </c>
    </row>
    <row r="144" customHeight="1" spans="1:5">
      <c r="A144" s="5" t="str">
        <f>"X线摄影14×17吋感绿片加收"</f>
        <v>X线摄影14×17吋感绿片加收</v>
      </c>
      <c r="B144" s="3" t="str">
        <f>"210102007-a"</f>
        <v>210102007-a</v>
      </c>
      <c r="C144" s="4">
        <v>14</v>
      </c>
      <c r="D144" s="3">
        <v>1</v>
      </c>
      <c r="E144" s="3" t="str">
        <f t="shared" si="30"/>
        <v>放射费</v>
      </c>
    </row>
    <row r="145" customHeight="1" spans="1:5">
      <c r="A145" s="5" t="str">
        <f>"牙片"</f>
        <v>牙片</v>
      </c>
      <c r="B145" s="3">
        <v>210102008</v>
      </c>
      <c r="C145" s="4">
        <v>3</v>
      </c>
      <c r="D145" s="3" t="str">
        <f t="shared" ref="D145:D149" si="33">"片数"</f>
        <v>片数</v>
      </c>
      <c r="E145" s="3" t="str">
        <f t="shared" si="30"/>
        <v>放射费</v>
      </c>
    </row>
    <row r="146" customHeight="1" spans="1:5">
      <c r="A146" s="5" t="str">
        <f>"使用感绿片加收牙片"</f>
        <v>使用感绿片加收牙片</v>
      </c>
      <c r="B146" s="3" t="str">
        <f>"210102008-a"</f>
        <v>210102008-a</v>
      </c>
      <c r="C146" s="4">
        <v>2</v>
      </c>
      <c r="D146" s="3" t="str">
        <f t="shared" si="33"/>
        <v>片数</v>
      </c>
      <c r="E146" s="3" t="str">
        <f t="shared" si="30"/>
        <v>放射费</v>
      </c>
    </row>
    <row r="147" customHeight="1" spans="1:5">
      <c r="A147" s="5" t="str">
        <f>"咬合片"</f>
        <v>咬合片</v>
      </c>
      <c r="B147" s="3">
        <v>210102009</v>
      </c>
      <c r="C147" s="4">
        <v>3</v>
      </c>
      <c r="D147" s="3" t="str">
        <f t="shared" si="33"/>
        <v>片数</v>
      </c>
      <c r="E147" s="3" t="str">
        <f t="shared" si="30"/>
        <v>放射费</v>
      </c>
    </row>
    <row r="148" customHeight="1" spans="1:5">
      <c r="A148" s="5" t="str">
        <f>"咬合片进口胶片"</f>
        <v>咬合片进口胶片</v>
      </c>
      <c r="B148" s="3" t="str">
        <f>"210102009-a"</f>
        <v>210102009-a</v>
      </c>
      <c r="C148" s="4">
        <v>20</v>
      </c>
      <c r="D148" s="3" t="str">
        <f t="shared" si="33"/>
        <v>片数</v>
      </c>
      <c r="E148" s="3" t="str">
        <f t="shared" si="30"/>
        <v>放射费</v>
      </c>
    </row>
    <row r="149" customHeight="1" spans="1:5">
      <c r="A149" s="5" t="str">
        <f>"曲面体层摄影(颌全景摄影)"</f>
        <v>曲面体层摄影(颌全景摄影)</v>
      </c>
      <c r="B149" s="3">
        <v>210102010</v>
      </c>
      <c r="C149" s="4">
        <v>50</v>
      </c>
      <c r="D149" s="3" t="str">
        <f t="shared" si="33"/>
        <v>片数</v>
      </c>
      <c r="E149" s="3" t="str">
        <f t="shared" si="30"/>
        <v>放射费</v>
      </c>
    </row>
    <row r="150" customHeight="1" spans="1:5">
      <c r="A150" s="5" t="str">
        <f>"数字化摄影(DR)"</f>
        <v>数字化摄影(DR)</v>
      </c>
      <c r="B150" s="3">
        <v>210102015</v>
      </c>
      <c r="C150" s="4">
        <v>60</v>
      </c>
      <c r="D150" s="3" t="str">
        <f t="shared" ref="D150:D155" si="34">"次"</f>
        <v>次</v>
      </c>
      <c r="E150" s="3" t="str">
        <f t="shared" si="30"/>
        <v>放射费</v>
      </c>
    </row>
    <row r="151" customHeight="1" spans="1:5">
      <c r="A151" s="5" t="str">
        <f>"干式激光胶片"</f>
        <v>干式激光胶片</v>
      </c>
      <c r="B151" s="3" t="str">
        <f>"210102015-2"</f>
        <v>210102015-2</v>
      </c>
      <c r="C151" s="4">
        <v>19</v>
      </c>
      <c r="D151" s="3" t="str">
        <f>"11×14英寸"</f>
        <v>11×14英寸</v>
      </c>
      <c r="E151" s="3" t="str">
        <f>"材料费"</f>
        <v>材料费</v>
      </c>
    </row>
    <row r="152" customHeight="1" spans="1:5">
      <c r="A152" s="5" t="str">
        <f>"数字化摄影(DR)从第二次曝光开始加收"</f>
        <v>数字化摄影(DR)从第二次曝光开始加收</v>
      </c>
      <c r="B152" s="3" t="str">
        <f>"210102015-b"</f>
        <v>210102015-b</v>
      </c>
      <c r="C152" s="4">
        <v>30</v>
      </c>
      <c r="D152" s="3" t="str">
        <f t="shared" si="34"/>
        <v>次</v>
      </c>
      <c r="E152" s="3" t="str">
        <f t="shared" ref="E152:E164" si="35">"放射费"</f>
        <v>放射费</v>
      </c>
    </row>
    <row r="153" customHeight="1" spans="1:5">
      <c r="A153" s="5" t="str">
        <f>"数字化摄影CR"</f>
        <v>数字化摄影CR</v>
      </c>
      <c r="B153" s="3">
        <v>210102016</v>
      </c>
      <c r="C153" s="4">
        <v>30</v>
      </c>
      <c r="D153" s="3">
        <v>1</v>
      </c>
      <c r="E153" s="3" t="str">
        <f t="shared" si="35"/>
        <v>放射费</v>
      </c>
    </row>
    <row r="154" customHeight="1" spans="1:5">
      <c r="A154" s="5" t="str">
        <f>"数字化摄影CR（加收）"</f>
        <v>数字化摄影CR（加收）</v>
      </c>
      <c r="B154" s="3" t="str">
        <f>"210102016-a"</f>
        <v>210102016-a</v>
      </c>
      <c r="C154" s="4">
        <v>20</v>
      </c>
      <c r="D154" s="3">
        <v>1</v>
      </c>
      <c r="E154" s="3" t="str">
        <f t="shared" si="35"/>
        <v>放射费</v>
      </c>
    </row>
    <row r="155" customHeight="1" spans="1:5">
      <c r="A155" s="5" t="str">
        <f>"下咽造影"</f>
        <v>下咽造影</v>
      </c>
      <c r="B155" s="3">
        <v>210103011</v>
      </c>
      <c r="C155" s="4">
        <v>30</v>
      </c>
      <c r="D155" s="3" t="str">
        <f t="shared" si="34"/>
        <v>次</v>
      </c>
      <c r="E155" s="3" t="str">
        <f t="shared" si="35"/>
        <v>放射费</v>
      </c>
    </row>
    <row r="156" customHeight="1" spans="1:5">
      <c r="A156" s="5" t="str">
        <f>"食管造影"</f>
        <v>食管造影</v>
      </c>
      <c r="B156" s="3">
        <v>210103012</v>
      </c>
      <c r="C156" s="4">
        <v>30</v>
      </c>
      <c r="D156" s="3" t="str">
        <f>"-"</f>
        <v>-</v>
      </c>
      <c r="E156" s="3" t="str">
        <f t="shared" si="35"/>
        <v>放射费</v>
      </c>
    </row>
    <row r="157" customHeight="1" spans="1:5">
      <c r="A157" s="5" t="str">
        <f>"上消化道造影"</f>
        <v>上消化道造影</v>
      </c>
      <c r="B157" s="3">
        <v>210103013</v>
      </c>
      <c r="C157" s="4">
        <v>60</v>
      </c>
      <c r="D157" s="3" t="str">
        <f t="shared" ref="D157:D164" si="36">"次"</f>
        <v>次</v>
      </c>
      <c r="E157" s="3" t="str">
        <f t="shared" si="35"/>
        <v>放射费</v>
      </c>
    </row>
    <row r="158" customHeight="1" spans="1:5">
      <c r="A158" s="5" t="str">
        <f>"口服法小肠造影"</f>
        <v>口服法小肠造影</v>
      </c>
      <c r="B158" s="3">
        <v>210103016</v>
      </c>
      <c r="C158" s="4">
        <v>50</v>
      </c>
      <c r="D158" s="3" t="str">
        <f t="shared" si="36"/>
        <v>次</v>
      </c>
      <c r="E158" s="3" t="str">
        <f t="shared" si="35"/>
        <v>放射费</v>
      </c>
    </row>
    <row r="159" customHeight="1" spans="1:5">
      <c r="A159" s="5" t="str">
        <f>"钡灌肠大肠造影"</f>
        <v>钡灌肠大肠造影</v>
      </c>
      <c r="B159" s="3">
        <v>210103017</v>
      </c>
      <c r="C159" s="4">
        <v>55</v>
      </c>
      <c r="D159" s="3" t="str">
        <f t="shared" si="36"/>
        <v>次</v>
      </c>
      <c r="E159" s="3" t="str">
        <f t="shared" si="35"/>
        <v>放射费</v>
      </c>
    </row>
    <row r="160" customHeight="1" spans="1:5">
      <c r="A160" s="5" t="str">
        <f>"口服法胆道造影"</f>
        <v>口服法胆道造影</v>
      </c>
      <c r="B160" s="3">
        <v>210103019</v>
      </c>
      <c r="C160" s="4">
        <v>50</v>
      </c>
      <c r="D160" s="3" t="str">
        <f t="shared" si="36"/>
        <v>次</v>
      </c>
      <c r="E160" s="3" t="str">
        <f t="shared" si="35"/>
        <v>放射费</v>
      </c>
    </row>
    <row r="161" customHeight="1" spans="1:5">
      <c r="A161" s="5" t="str">
        <f>"静脉泌尿系造影"</f>
        <v>静脉泌尿系造影</v>
      </c>
      <c r="B161" s="3">
        <v>210103024</v>
      </c>
      <c r="C161" s="4">
        <v>50</v>
      </c>
      <c r="D161" s="3" t="str">
        <f t="shared" si="36"/>
        <v>次</v>
      </c>
      <c r="E161" s="3" t="str">
        <f t="shared" si="35"/>
        <v>放射费</v>
      </c>
    </row>
    <row r="162" customHeight="1" spans="1:5">
      <c r="A162" s="5" t="str">
        <f>"逆行泌尿系造影"</f>
        <v>逆行泌尿系造影</v>
      </c>
      <c r="B162" s="3">
        <v>210103025</v>
      </c>
      <c r="C162" s="4">
        <v>50</v>
      </c>
      <c r="D162" s="3" t="str">
        <f t="shared" si="36"/>
        <v>次</v>
      </c>
      <c r="E162" s="3" t="str">
        <f t="shared" si="35"/>
        <v>放射费</v>
      </c>
    </row>
    <row r="163" customHeight="1" spans="1:5">
      <c r="A163" s="5" t="str">
        <f>"膀胱造影"</f>
        <v>膀胱造影</v>
      </c>
      <c r="B163" s="3">
        <v>210103027</v>
      </c>
      <c r="C163" s="4">
        <v>30</v>
      </c>
      <c r="D163" s="3" t="str">
        <f t="shared" si="36"/>
        <v>次</v>
      </c>
      <c r="E163" s="3" t="str">
        <f t="shared" si="35"/>
        <v>放射费</v>
      </c>
    </row>
    <row r="164" customHeight="1" spans="1:5">
      <c r="A164" s="5" t="str">
        <f>"子宫输卵管碘油造影"</f>
        <v>子宫输卵管碘油造影</v>
      </c>
      <c r="B164" s="3">
        <v>210103031</v>
      </c>
      <c r="C164" s="4">
        <v>25</v>
      </c>
      <c r="D164" s="3" t="str">
        <f t="shared" si="36"/>
        <v>次</v>
      </c>
      <c r="E164" s="3" t="str">
        <f t="shared" si="35"/>
        <v>放射费</v>
      </c>
    </row>
    <row r="165" customHeight="1" spans="1:5">
      <c r="A165" s="5" t="str">
        <f>"螺旋CT平扫（肱骨）"</f>
        <v>螺旋CT平扫（肱骨）</v>
      </c>
      <c r="B165" s="3" t="str">
        <f>"210300001-a-1"</f>
        <v>210300001-a-1</v>
      </c>
      <c r="C165" s="4">
        <v>90</v>
      </c>
      <c r="D165" s="3">
        <v>1</v>
      </c>
      <c r="E165" s="3" t="str">
        <f>"CT费"</f>
        <v>CT费</v>
      </c>
    </row>
    <row r="166" customHeight="1" spans="1:5">
      <c r="A166" s="5" t="str">
        <f>"平扫—螺旋CT（心脏）"</f>
        <v>平扫—螺旋CT（心脏）</v>
      </c>
      <c r="B166" s="3" t="str">
        <f>"210300001-a-2"</f>
        <v>210300001-a-2</v>
      </c>
      <c r="C166" s="4">
        <v>90</v>
      </c>
      <c r="D166" s="3">
        <v>1</v>
      </c>
      <c r="E166" s="3" t="str">
        <f>"CT费"</f>
        <v>CT费</v>
      </c>
    </row>
    <row r="167" customHeight="1" spans="1:5">
      <c r="A167" s="5" t="str">
        <f>"院外影像学会诊"</f>
        <v>院外影像学会诊</v>
      </c>
      <c r="B167" s="3">
        <v>210400001</v>
      </c>
      <c r="C167" s="4">
        <v>40</v>
      </c>
      <c r="D167" s="3" t="str">
        <f t="shared" ref="D167:D175" si="37">"次"</f>
        <v>次</v>
      </c>
      <c r="E167" s="3" t="str">
        <f>"放射费"</f>
        <v>放射费</v>
      </c>
    </row>
    <row r="168" customHeight="1" spans="1:5">
      <c r="A168" s="5" t="str">
        <f>"红外线乳腺检查"</f>
        <v>红外线乳腺检查</v>
      </c>
      <c r="B168" s="3">
        <v>210500002</v>
      </c>
      <c r="C168" s="4">
        <v>40</v>
      </c>
      <c r="D168" s="3" t="str">
        <f>"单侧"</f>
        <v>单侧</v>
      </c>
      <c r="E168" s="3" t="str">
        <f>"检查费"</f>
        <v>检查费</v>
      </c>
    </row>
    <row r="169" customHeight="1" spans="1:5">
      <c r="A169" s="5" t="str">
        <f>"单脏器B超检查"</f>
        <v>单脏器B超检查</v>
      </c>
      <c r="B169" s="3">
        <v>220201001</v>
      </c>
      <c r="C169" s="4">
        <v>10</v>
      </c>
      <c r="D169" s="3" t="str">
        <f t="shared" si="37"/>
        <v>次</v>
      </c>
      <c r="E169" s="3" t="str">
        <f t="shared" ref="E169:E171" si="38">"超声费"</f>
        <v>超声费</v>
      </c>
    </row>
    <row r="170" customHeight="1" spans="1:5">
      <c r="A170" s="5" t="str">
        <f>"单脏器B超检查每增加一个脏器检查加收"</f>
        <v>单脏器B超检查每增加一个脏器检查加收</v>
      </c>
      <c r="B170" s="3" t="str">
        <f>"220201001-a"</f>
        <v>220201001-a</v>
      </c>
      <c r="C170" s="4">
        <v>5</v>
      </c>
      <c r="D170" s="3" t="str">
        <f t="shared" si="37"/>
        <v>次</v>
      </c>
      <c r="E170" s="3" t="str">
        <f t="shared" si="38"/>
        <v>超声费</v>
      </c>
    </row>
    <row r="171" customHeight="1" spans="1:5">
      <c r="A171" s="5" t="str">
        <f>"B超常规检查"</f>
        <v>B超常规检查</v>
      </c>
      <c r="B171" s="3">
        <v>220201002</v>
      </c>
      <c r="C171" s="4">
        <v>30</v>
      </c>
      <c r="D171" s="3" t="str">
        <f t="shared" si="37"/>
        <v>次</v>
      </c>
      <c r="E171" s="3" t="str">
        <f t="shared" si="38"/>
        <v>超声费</v>
      </c>
    </row>
    <row r="172" customHeight="1" spans="1:5">
      <c r="A172" s="5" t="str">
        <f>"胸腹水B超检查及穿刺定位"</f>
        <v>胸腹水B超检查及穿刺定位</v>
      </c>
      <c r="B172" s="3">
        <v>220201003</v>
      </c>
      <c r="C172" s="4">
        <v>30</v>
      </c>
      <c r="D172" s="3" t="str">
        <f t="shared" si="37"/>
        <v>次</v>
      </c>
      <c r="E172" s="3" t="str">
        <f>"彩超费"</f>
        <v>彩超费</v>
      </c>
    </row>
    <row r="173" customHeight="1" spans="1:5">
      <c r="A173" s="5" t="str">
        <f>"胃肠充盈造影B超检查"</f>
        <v>胃肠充盈造影B超检查</v>
      </c>
      <c r="B173" s="3">
        <v>220201004</v>
      </c>
      <c r="C173" s="4">
        <v>25</v>
      </c>
      <c r="D173" s="3" t="str">
        <f t="shared" si="37"/>
        <v>次</v>
      </c>
      <c r="E173" s="3" t="str">
        <f t="shared" ref="E173:E176" si="39">"超声费"</f>
        <v>超声费</v>
      </c>
    </row>
    <row r="174" customHeight="1" spans="1:5">
      <c r="A174" s="5" t="str">
        <f>"大肠灌肠造影B超检查"</f>
        <v>大肠灌肠造影B超检查</v>
      </c>
      <c r="B174" s="3">
        <v>220201005</v>
      </c>
      <c r="C174" s="4">
        <v>30</v>
      </c>
      <c r="D174" s="3" t="str">
        <f t="shared" si="37"/>
        <v>次</v>
      </c>
      <c r="E174" s="3" t="str">
        <f t="shared" si="39"/>
        <v>超声费</v>
      </c>
    </row>
    <row r="175" customHeight="1" spans="1:5">
      <c r="A175" s="5" t="str">
        <f>"输卵管超声造影"</f>
        <v>输卵管超声造影</v>
      </c>
      <c r="B175" s="3">
        <v>220201006</v>
      </c>
      <c r="C175" s="4">
        <v>30</v>
      </c>
      <c r="D175" s="3" t="str">
        <f t="shared" si="37"/>
        <v>次</v>
      </c>
      <c r="E175" s="3" t="str">
        <f t="shared" si="39"/>
        <v>超声费</v>
      </c>
    </row>
    <row r="176" customHeight="1" spans="1:5">
      <c r="A176" s="5" t="str">
        <f>"浅表组织器官B超检查"</f>
        <v>浅表组织器官B超检查</v>
      </c>
      <c r="B176" s="3">
        <v>220201007</v>
      </c>
      <c r="C176" s="4">
        <v>25</v>
      </c>
      <c r="D176" s="3" t="str">
        <f>"每个部位"</f>
        <v>每个部位</v>
      </c>
      <c r="E176" s="3" t="str">
        <f t="shared" si="39"/>
        <v>超声费</v>
      </c>
    </row>
    <row r="177" customHeight="1" spans="1:5">
      <c r="A177" s="5" t="str">
        <f>"床旁B超检查"</f>
        <v>床旁B超检查</v>
      </c>
      <c r="B177" s="3">
        <v>220201008</v>
      </c>
      <c r="C177" s="4">
        <v>30</v>
      </c>
      <c r="D177" s="3" t="str">
        <f>"半小时"</f>
        <v>半小时</v>
      </c>
      <c r="E177" s="3" t="str">
        <f t="shared" ref="E177:E189" si="40">"彩超费"</f>
        <v>彩超费</v>
      </c>
    </row>
    <row r="178" customHeight="1" spans="1:5">
      <c r="A178" s="5" t="str">
        <f>"膀胱残余尿测定"</f>
        <v>膀胱残余尿测定</v>
      </c>
      <c r="B178" s="3">
        <v>220203005</v>
      </c>
      <c r="C178" s="4">
        <v>25</v>
      </c>
      <c r="D178" s="3">
        <v>1</v>
      </c>
      <c r="E178" s="3" t="str">
        <f t="shared" si="40"/>
        <v>彩超费</v>
      </c>
    </row>
    <row r="179" customHeight="1" spans="1:5">
      <c r="A179" s="5" t="str">
        <f>"彩色多普勒超声常规检查"</f>
        <v>彩色多普勒超声常规检查</v>
      </c>
      <c r="B179" s="3">
        <v>220301001</v>
      </c>
      <c r="C179" s="4">
        <v>50</v>
      </c>
      <c r="D179" s="3">
        <v>1</v>
      </c>
      <c r="E179" s="3" t="str">
        <f t="shared" si="40"/>
        <v>彩超费</v>
      </c>
    </row>
    <row r="180" customHeight="1" spans="1:5">
      <c r="A180" s="5" t="str">
        <f>"彩色多普勒超声常规检查（妇科）"</f>
        <v>彩色多普勒超声常规检查（妇科）</v>
      </c>
      <c r="B180" s="3" t="str">
        <f>"220301001-2"</f>
        <v>220301001-2</v>
      </c>
      <c r="C180" s="4">
        <v>50</v>
      </c>
      <c r="D180" s="3" t="str">
        <f t="shared" ref="D180:D185" si="41">"项"</f>
        <v>项</v>
      </c>
      <c r="E180" s="3" t="str">
        <f t="shared" si="40"/>
        <v>彩超费</v>
      </c>
    </row>
    <row r="181" customHeight="1" spans="1:5">
      <c r="A181" s="5" t="str">
        <f>"彩色多普勒超声常规检查（腹部）"</f>
        <v>彩色多普勒超声常规检查（腹部）</v>
      </c>
      <c r="B181" s="3" t="str">
        <f>"220301001-3"</f>
        <v>220301001-3</v>
      </c>
      <c r="C181" s="4">
        <v>50</v>
      </c>
      <c r="D181" s="3" t="str">
        <f t="shared" si="41"/>
        <v>项</v>
      </c>
      <c r="E181" s="3" t="str">
        <f t="shared" si="40"/>
        <v>彩超费</v>
      </c>
    </row>
    <row r="182" customHeight="1" spans="1:5">
      <c r="A182" s="5" t="str">
        <f>"彩色多普勒超声常规检查(泌尿系）"</f>
        <v>彩色多普勒超声常规检查(泌尿系）</v>
      </c>
      <c r="B182" s="3" t="str">
        <f>"220301001-4"</f>
        <v>220301001-4</v>
      </c>
      <c r="C182" s="4">
        <v>50</v>
      </c>
      <c r="D182" s="3" t="str">
        <f t="shared" si="41"/>
        <v>项</v>
      </c>
      <c r="E182" s="3" t="str">
        <f t="shared" si="40"/>
        <v>彩超费</v>
      </c>
    </row>
    <row r="183" customHeight="1" spans="1:5">
      <c r="A183" s="5" t="str">
        <f>"彩色多普勒超声常规检查（胃肠系）"</f>
        <v>彩色多普勒超声常规检查（胃肠系）</v>
      </c>
      <c r="B183" s="3" t="str">
        <f>"220301001-5"</f>
        <v>220301001-5</v>
      </c>
      <c r="C183" s="4">
        <v>50</v>
      </c>
      <c r="D183" s="3" t="str">
        <f t="shared" si="41"/>
        <v>项</v>
      </c>
      <c r="E183" s="3" t="str">
        <f t="shared" si="40"/>
        <v>彩超费</v>
      </c>
    </row>
    <row r="184" customHeight="1" spans="1:5">
      <c r="A184" s="5" t="str">
        <f>"彩色多普勒超声常规检查（胸部）"</f>
        <v>彩色多普勒超声常规检查（胸部）</v>
      </c>
      <c r="B184" s="3" t="str">
        <f>"220301001-6"</f>
        <v>220301001-6</v>
      </c>
      <c r="C184" s="4">
        <v>50</v>
      </c>
      <c r="D184" s="3" t="str">
        <f t="shared" si="41"/>
        <v>项</v>
      </c>
      <c r="E184" s="3" t="str">
        <f t="shared" si="40"/>
        <v>彩超费</v>
      </c>
    </row>
    <row r="185" customHeight="1" spans="1:5">
      <c r="A185" s="5" t="str">
        <f>"浅表器官彩色多普勒超声检查"</f>
        <v>浅表器官彩色多普勒超声检查</v>
      </c>
      <c r="B185" s="3">
        <v>220301002</v>
      </c>
      <c r="C185" s="4">
        <v>50</v>
      </c>
      <c r="D185" s="3" t="str">
        <f t="shared" si="41"/>
        <v>项</v>
      </c>
      <c r="E185" s="3" t="str">
        <f t="shared" si="40"/>
        <v>彩超费</v>
      </c>
    </row>
    <row r="186" customHeight="1" spans="1:5">
      <c r="A186" s="5" t="str">
        <f>"彩色多普勒超声检查(甲状腺及颈部淋巴结)"</f>
        <v>彩色多普勒超声检查(甲状腺及颈部淋巴结)</v>
      </c>
      <c r="B186" s="3" t="str">
        <f>"220301002-3"</f>
        <v>220301002-3</v>
      </c>
      <c r="C186" s="4">
        <v>50</v>
      </c>
      <c r="D186" s="3" t="str">
        <f t="shared" ref="D186:D192" si="42">"次"</f>
        <v>次</v>
      </c>
      <c r="E186" s="3" t="str">
        <f t="shared" si="40"/>
        <v>彩超费</v>
      </c>
    </row>
    <row r="187" customHeight="1" spans="1:5">
      <c r="A187" s="5" t="str">
        <f>"彩色多普勒超声检查(乳腺及其引流区淋巴结)"</f>
        <v>彩色多普勒超声检查(乳腺及其引流区淋巴结)</v>
      </c>
      <c r="B187" s="3" t="str">
        <f>"220301002-4"</f>
        <v>220301002-4</v>
      </c>
      <c r="C187" s="4">
        <v>50</v>
      </c>
      <c r="D187" s="3" t="str">
        <f t="shared" si="42"/>
        <v>次</v>
      </c>
      <c r="E187" s="3" t="str">
        <f t="shared" si="40"/>
        <v>彩超费</v>
      </c>
    </row>
    <row r="188" customHeight="1" spans="1:5">
      <c r="A188" s="5" t="str">
        <f>"颈部血管彩色多普勒超声"</f>
        <v>颈部血管彩色多普勒超声</v>
      </c>
      <c r="B188" s="3">
        <v>220302003</v>
      </c>
      <c r="C188" s="4">
        <v>35</v>
      </c>
      <c r="D188" s="3" t="str">
        <f t="shared" si="42"/>
        <v>次</v>
      </c>
      <c r="E188" s="3" t="str">
        <f t="shared" si="40"/>
        <v>彩超费</v>
      </c>
    </row>
    <row r="189" customHeight="1" spans="1:5">
      <c r="A189" s="5" t="str">
        <f>"腔内彩色多普勒超声检查"</f>
        <v>腔内彩色多普勒超声检查</v>
      </c>
      <c r="B189" s="3" t="str">
        <f>"220302011-1"</f>
        <v>220302011-1</v>
      </c>
      <c r="C189" s="4">
        <v>35</v>
      </c>
      <c r="D189" s="3" t="str">
        <f t="shared" si="42"/>
        <v>次</v>
      </c>
      <c r="E189" s="3" t="str">
        <f t="shared" si="40"/>
        <v>彩超费</v>
      </c>
    </row>
    <row r="190" customHeight="1" spans="1:5">
      <c r="A190" s="5" t="str">
        <f>"腔内彩色多普勒超声检查(经直肠)"</f>
        <v>腔内彩色多普勒超声检查(经直肠)</v>
      </c>
      <c r="B190" s="3" t="str">
        <f>"220302011-2"</f>
        <v>220302011-2</v>
      </c>
      <c r="C190" s="4">
        <v>35</v>
      </c>
      <c r="D190" s="3" t="str">
        <f t="shared" si="42"/>
        <v>次</v>
      </c>
      <c r="E190" s="3" t="str">
        <f t="shared" ref="E190:E192" si="43">"超声费"</f>
        <v>超声费</v>
      </c>
    </row>
    <row r="191" customHeight="1" spans="1:5">
      <c r="A191" s="5" t="str">
        <f>"腔内彩色多普勒超声检查(经阴道)"</f>
        <v>腔内彩色多普勒超声检查(经阴道)</v>
      </c>
      <c r="B191" s="3" t="str">
        <f>"220302011-3"</f>
        <v>220302011-3</v>
      </c>
      <c r="C191" s="4">
        <v>35</v>
      </c>
      <c r="D191" s="3" t="str">
        <f t="shared" si="42"/>
        <v>次</v>
      </c>
      <c r="E191" s="3" t="str">
        <f t="shared" si="43"/>
        <v>超声费</v>
      </c>
    </row>
    <row r="192" customHeight="1" spans="1:5">
      <c r="A192" s="5" t="str">
        <f>"颅内多普勒血流图(TCD)"</f>
        <v>颅内多普勒血流图(TCD)</v>
      </c>
      <c r="B192" s="3">
        <v>220400001</v>
      </c>
      <c r="C192" s="4">
        <v>100</v>
      </c>
      <c r="D192" s="3" t="str">
        <f t="shared" si="42"/>
        <v>次</v>
      </c>
      <c r="E192" s="3" t="str">
        <f t="shared" si="43"/>
        <v>超声费</v>
      </c>
    </row>
    <row r="193" customHeight="1" spans="1:5">
      <c r="A193" s="5" t="str">
        <f>"多普勒血流图"</f>
        <v>多普勒血流图</v>
      </c>
      <c r="B193" s="3">
        <v>220400002</v>
      </c>
      <c r="C193" s="4">
        <v>30</v>
      </c>
      <c r="D193" s="3" t="str">
        <f>"单肢或部位"</f>
        <v>单肢或部位</v>
      </c>
      <c r="E193" s="3" t="str">
        <f t="shared" ref="E193:E197" si="44">"彩超费"</f>
        <v>彩超费</v>
      </c>
    </row>
    <row r="194" customHeight="1" spans="1:5">
      <c r="A194" s="5" t="str">
        <f>"普通心脏M型超声检查"</f>
        <v>普通心脏M型超声检查</v>
      </c>
      <c r="B194" s="3">
        <v>220600001</v>
      </c>
      <c r="C194" s="4">
        <v>10</v>
      </c>
      <c r="D194" s="3" t="str">
        <f>"次"</f>
        <v>次</v>
      </c>
      <c r="E194" s="3" t="str">
        <f>"超声费"</f>
        <v>超声费</v>
      </c>
    </row>
    <row r="195" customHeight="1" spans="1:5">
      <c r="A195" s="5" t="str">
        <f>"普通二维超声心动图"</f>
        <v>普通二维超声心动图</v>
      </c>
      <c r="B195" s="3">
        <v>220600002</v>
      </c>
      <c r="C195" s="4">
        <v>50</v>
      </c>
      <c r="D195" s="3" t="str">
        <f>"次"</f>
        <v>次</v>
      </c>
      <c r="E195" s="3" t="str">
        <f t="shared" si="44"/>
        <v>彩超费</v>
      </c>
    </row>
    <row r="196" customHeight="1" spans="1:5">
      <c r="A196" s="5" t="str">
        <f>"心脏彩色多普勒超声"</f>
        <v>心脏彩色多普勒超声</v>
      </c>
      <c r="B196" s="3">
        <v>220600004</v>
      </c>
      <c r="C196" s="4">
        <v>100</v>
      </c>
      <c r="D196" s="3" t="str">
        <f>"项"</f>
        <v>项</v>
      </c>
      <c r="E196" s="3" t="str">
        <f t="shared" si="44"/>
        <v>彩超费</v>
      </c>
    </row>
    <row r="197" customHeight="1" spans="1:5">
      <c r="A197" s="5" t="str">
        <f>"左心功能测定"</f>
        <v>左心功能测定</v>
      </c>
      <c r="B197" s="3">
        <v>220600010</v>
      </c>
      <c r="C197" s="4">
        <v>65</v>
      </c>
      <c r="D197" s="3">
        <v>1</v>
      </c>
      <c r="E197" s="3" t="str">
        <f t="shared" si="44"/>
        <v>彩超费</v>
      </c>
    </row>
    <row r="198" customHeight="1" spans="1:5">
      <c r="A198" s="5" t="str">
        <f>"黑白热敏打印照片"</f>
        <v>黑白热敏打印照片</v>
      </c>
      <c r="B198" s="3">
        <v>220800001</v>
      </c>
      <c r="C198" s="4">
        <v>10</v>
      </c>
      <c r="D198" s="3" t="str">
        <f t="shared" ref="D198:D200" si="45">"片"</f>
        <v>片</v>
      </c>
      <c r="E198" s="3" t="str">
        <f>"放射费"</f>
        <v>放射费</v>
      </c>
    </row>
    <row r="199" customHeight="1" spans="1:5">
      <c r="A199" s="5" t="str">
        <f>"彩色打印照片"</f>
        <v>彩色打印照片</v>
      </c>
      <c r="B199" s="3">
        <v>220800002</v>
      </c>
      <c r="C199" s="4">
        <v>15</v>
      </c>
      <c r="D199" s="3" t="str">
        <f t="shared" si="45"/>
        <v>片</v>
      </c>
      <c r="E199" s="3" t="str">
        <f>"彩超费"</f>
        <v>彩超费</v>
      </c>
    </row>
    <row r="200" customHeight="1" spans="1:5">
      <c r="A200" s="5" t="str">
        <f>"彩色胶片照相"</f>
        <v>彩色胶片照相</v>
      </c>
      <c r="B200" s="3">
        <v>220800006</v>
      </c>
      <c r="C200" s="4">
        <v>15</v>
      </c>
      <c r="D200" s="3" t="str">
        <f t="shared" si="45"/>
        <v>片</v>
      </c>
      <c r="E200" s="3" t="str">
        <f>"超声费"</f>
        <v>超声费</v>
      </c>
    </row>
    <row r="201" customHeight="1" spans="1:5">
      <c r="A201" s="5" t="str">
        <f>"计算机图文报告"</f>
        <v>计算机图文报告</v>
      </c>
      <c r="B201" s="3">
        <v>220800008</v>
      </c>
      <c r="C201" s="4">
        <v>15</v>
      </c>
      <c r="D201" s="3" t="str">
        <f>"次"</f>
        <v>次</v>
      </c>
      <c r="E201" s="3" t="str">
        <f t="shared" ref="E201:E203" si="46">"检查费"</f>
        <v>检查费</v>
      </c>
    </row>
    <row r="202" customHeight="1" spans="1:5">
      <c r="A202" s="5" t="str">
        <f>"彩色胶片报告"</f>
        <v>彩色胶片报告</v>
      </c>
      <c r="B202" s="3">
        <v>220800009</v>
      </c>
      <c r="C202" s="4">
        <v>20</v>
      </c>
      <c r="D202" s="3">
        <v>1</v>
      </c>
      <c r="E202" s="3" t="str">
        <f t="shared" si="46"/>
        <v>检查费</v>
      </c>
    </row>
    <row r="203" customHeight="1" spans="1:5">
      <c r="A203" s="5" t="str">
        <f>"骨密度测定"</f>
        <v>骨密度测定</v>
      </c>
      <c r="B203" s="3">
        <v>230200055</v>
      </c>
      <c r="C203" s="4">
        <v>40</v>
      </c>
      <c r="D203" s="3" t="str">
        <f>"次"</f>
        <v>次</v>
      </c>
      <c r="E203" s="3" t="str">
        <f t="shared" si="46"/>
        <v>检查费</v>
      </c>
    </row>
    <row r="204" customHeight="1" spans="1:5">
      <c r="A204" s="5" t="str">
        <f>"血红蛋白测定(Hb)"</f>
        <v>血红蛋白测定(Hb)</v>
      </c>
      <c r="B204" s="3">
        <v>250101001</v>
      </c>
      <c r="C204" s="4">
        <v>1</v>
      </c>
      <c r="D204" s="3" t="str">
        <f t="shared" ref="D204:D206" si="47">"项"</f>
        <v>项</v>
      </c>
      <c r="E204" s="3" t="str">
        <f t="shared" ref="E204:E267" si="48">"检验费"</f>
        <v>检验费</v>
      </c>
    </row>
    <row r="205" customHeight="1" spans="1:5">
      <c r="A205" s="5" t="str">
        <f>"红细胞计数(RBC)"</f>
        <v>红细胞计数(RBC)</v>
      </c>
      <c r="B205" s="3">
        <v>250101002</v>
      </c>
      <c r="C205" s="4">
        <v>1</v>
      </c>
      <c r="D205" s="3" t="str">
        <f t="shared" si="47"/>
        <v>项</v>
      </c>
      <c r="E205" s="3" t="str">
        <f t="shared" si="48"/>
        <v>检验费</v>
      </c>
    </row>
    <row r="206" customHeight="1" spans="1:5">
      <c r="A206" s="5" t="str">
        <f>"红细胞比积测定(HCT)"</f>
        <v>红细胞比积测定(HCT)</v>
      </c>
      <c r="B206" s="3">
        <v>250101003</v>
      </c>
      <c r="C206" s="4">
        <v>1</v>
      </c>
      <c r="D206" s="3" t="str">
        <f t="shared" si="47"/>
        <v>项</v>
      </c>
      <c r="E206" s="3" t="str">
        <f t="shared" si="48"/>
        <v>检验费</v>
      </c>
    </row>
    <row r="207" customHeight="1" spans="1:5">
      <c r="A207" s="5" t="str">
        <f>"红细胞参数平均值测定"</f>
        <v>红细胞参数平均值测定</v>
      </c>
      <c r="B207" s="3">
        <v>250101004</v>
      </c>
      <c r="C207" s="4">
        <v>2</v>
      </c>
      <c r="D207" s="3" t="str">
        <f>"次"</f>
        <v>次</v>
      </c>
      <c r="E207" s="3" t="str">
        <f t="shared" si="48"/>
        <v>检验费</v>
      </c>
    </row>
    <row r="208" customHeight="1" spans="1:5">
      <c r="A208" s="5" t="str">
        <f>"网织红细胞计数(Ret)"</f>
        <v>网织红细胞计数(Ret)</v>
      </c>
      <c r="B208" s="3">
        <v>250101005</v>
      </c>
      <c r="C208" s="4">
        <v>1</v>
      </c>
      <c r="D208" s="3" t="str">
        <f t="shared" ref="D208:D216" si="49">"项"</f>
        <v>项</v>
      </c>
      <c r="E208" s="3" t="str">
        <f t="shared" si="48"/>
        <v>检验费</v>
      </c>
    </row>
    <row r="209" customHeight="1" spans="1:5">
      <c r="A209" s="5" t="str">
        <f>"异常红细胞形态检查"</f>
        <v>异常红细胞形态检查</v>
      </c>
      <c r="B209" s="3">
        <v>250101007</v>
      </c>
      <c r="C209" s="4">
        <v>2</v>
      </c>
      <c r="D209" s="3" t="str">
        <f t="shared" si="49"/>
        <v>项</v>
      </c>
      <c r="E209" s="3" t="str">
        <f t="shared" si="48"/>
        <v>检验费</v>
      </c>
    </row>
    <row r="210" customHeight="1" spans="1:5">
      <c r="A210" s="5" t="str">
        <f>"红细胞沉降率测定(ESR)(仪器法)"</f>
        <v>红细胞沉降率测定(ESR)(仪器法)</v>
      </c>
      <c r="B210" s="3" t="str">
        <f>"250101008-a"</f>
        <v>250101008-a</v>
      </c>
      <c r="C210" s="4">
        <v>7</v>
      </c>
      <c r="D210" s="3" t="str">
        <f>"-"</f>
        <v>-</v>
      </c>
      <c r="E210" s="3" t="str">
        <f t="shared" si="48"/>
        <v>检验费</v>
      </c>
    </row>
    <row r="211" customHeight="1" spans="1:5">
      <c r="A211" s="5" t="str">
        <f>"白细胞计数(WBC)"</f>
        <v>白细胞计数(WBC)</v>
      </c>
      <c r="B211" s="3">
        <v>250101009</v>
      </c>
      <c r="C211" s="4">
        <v>1</v>
      </c>
      <c r="D211" s="3" t="str">
        <f t="shared" si="49"/>
        <v>项</v>
      </c>
      <c r="E211" s="3" t="str">
        <f t="shared" si="48"/>
        <v>检验费</v>
      </c>
    </row>
    <row r="212" customHeight="1" spans="1:5">
      <c r="A212" s="5" t="str">
        <f>"白细胞分类计数(DC)"</f>
        <v>白细胞分类计数(DC)</v>
      </c>
      <c r="B212" s="3">
        <v>250101010</v>
      </c>
      <c r="C212" s="4" t="str">
        <f>"0.5"</f>
        <v>0.5</v>
      </c>
      <c r="D212" s="3" t="str">
        <f t="shared" si="49"/>
        <v>项</v>
      </c>
      <c r="E212" s="3" t="str">
        <f t="shared" si="48"/>
        <v>检验费</v>
      </c>
    </row>
    <row r="213" customHeight="1" spans="1:5">
      <c r="A213" s="5" t="str">
        <f>"粒细胞计数"</f>
        <v>粒细胞计数</v>
      </c>
      <c r="B213" s="3">
        <v>250101011</v>
      </c>
      <c r="C213" s="4">
        <v>1</v>
      </c>
      <c r="D213" s="3" t="str">
        <f t="shared" si="49"/>
        <v>项</v>
      </c>
      <c r="E213" s="3" t="str">
        <f t="shared" si="48"/>
        <v>检验费</v>
      </c>
    </row>
    <row r="214" customHeight="1" spans="1:5">
      <c r="A214" s="5" t="str">
        <f>"异常白细胞形态检查"</f>
        <v>异常白细胞形态检查</v>
      </c>
      <c r="B214" s="3">
        <v>250101012</v>
      </c>
      <c r="C214" s="4">
        <v>2</v>
      </c>
      <c r="D214" s="3" t="str">
        <f t="shared" si="49"/>
        <v>项</v>
      </c>
      <c r="E214" s="3" t="str">
        <f t="shared" si="48"/>
        <v>检验费</v>
      </c>
    </row>
    <row r="215" customHeight="1" spans="1:5">
      <c r="A215" s="5" t="str">
        <f>"血小板计数"</f>
        <v>血小板计数</v>
      </c>
      <c r="B215" s="3">
        <v>250101014</v>
      </c>
      <c r="C215" s="4">
        <v>1</v>
      </c>
      <c r="D215" s="3" t="str">
        <f t="shared" si="49"/>
        <v>项</v>
      </c>
      <c r="E215" s="3" t="str">
        <f t="shared" si="48"/>
        <v>检验费</v>
      </c>
    </row>
    <row r="216" customHeight="1" spans="1:5">
      <c r="A216" s="5" t="str">
        <f>"血细胞分析（手工法）"</f>
        <v>血细胞分析（手工法）</v>
      </c>
      <c r="B216" s="3">
        <v>250101015</v>
      </c>
      <c r="C216" s="4">
        <v>2</v>
      </c>
      <c r="D216" s="3" t="str">
        <f t="shared" si="49"/>
        <v>项</v>
      </c>
      <c r="E216" s="3" t="str">
        <f t="shared" si="48"/>
        <v>检验费</v>
      </c>
    </row>
    <row r="217" customHeight="1" spans="1:5">
      <c r="A217" s="5" t="str">
        <f>"血细胞分析（三分类）"</f>
        <v>血细胞分析（三分类）</v>
      </c>
      <c r="B217" s="3" t="str">
        <f>"250101015-a"</f>
        <v>250101015-a</v>
      </c>
      <c r="C217" s="4">
        <v>10</v>
      </c>
      <c r="D217" s="3" t="str">
        <f t="shared" ref="D217:D219" si="50">"次"</f>
        <v>次</v>
      </c>
      <c r="E217" s="3" t="str">
        <f t="shared" si="48"/>
        <v>检验费</v>
      </c>
    </row>
    <row r="218" customHeight="1" spans="1:5">
      <c r="A218" s="5" t="str">
        <f>"血细胞分析（五分类）"</f>
        <v>血细胞分析（五分类）</v>
      </c>
      <c r="B218" s="3" t="str">
        <f>"250101015-b"</f>
        <v>250101015-b</v>
      </c>
      <c r="C218" s="4">
        <v>18</v>
      </c>
      <c r="D218" s="3" t="str">
        <f t="shared" si="50"/>
        <v>次</v>
      </c>
      <c r="E218" s="3" t="str">
        <f t="shared" si="48"/>
        <v>检验费</v>
      </c>
    </row>
    <row r="219" customHeight="1" spans="1:5">
      <c r="A219" s="5" t="str">
        <f>"尿常规镜检"</f>
        <v>尿常规镜检</v>
      </c>
      <c r="B219" s="3">
        <v>250102001</v>
      </c>
      <c r="C219" s="4">
        <v>1</v>
      </c>
      <c r="D219" s="3" t="str">
        <f t="shared" si="50"/>
        <v>次</v>
      </c>
      <c r="E219" s="3" t="str">
        <f t="shared" si="48"/>
        <v>检验费</v>
      </c>
    </row>
    <row r="220" customHeight="1" spans="1:5">
      <c r="A220" s="5" t="str">
        <f>"尿酸碱度测定"</f>
        <v>尿酸碱度测定</v>
      </c>
      <c r="B220" s="3">
        <v>250102002</v>
      </c>
      <c r="C220" s="4" t="str">
        <f t="shared" ref="C220:C223" si="51">"0.5"</f>
        <v>0.5</v>
      </c>
      <c r="D220" s="3">
        <v>1</v>
      </c>
      <c r="E220" s="3" t="str">
        <f t="shared" si="48"/>
        <v>检验费</v>
      </c>
    </row>
    <row r="221" customHeight="1" spans="1:5">
      <c r="A221" s="5" t="str">
        <f>"尿比重测定"</f>
        <v>尿比重测定</v>
      </c>
      <c r="B221" s="3">
        <v>250102003</v>
      </c>
      <c r="C221" s="4" t="str">
        <f t="shared" si="51"/>
        <v>0.5</v>
      </c>
      <c r="D221" s="3">
        <v>1</v>
      </c>
      <c r="E221" s="3" t="str">
        <f t="shared" si="48"/>
        <v>检验费</v>
      </c>
    </row>
    <row r="222" customHeight="1" spans="1:5">
      <c r="A222" s="5" t="str">
        <f>"渗透压检查"</f>
        <v>渗透压检查</v>
      </c>
      <c r="B222" s="3">
        <v>250102004</v>
      </c>
      <c r="C222" s="4">
        <v>3</v>
      </c>
      <c r="D222" s="3" t="str">
        <f t="shared" ref="D222:D234" si="52">"项"</f>
        <v>项</v>
      </c>
      <c r="E222" s="3" t="str">
        <f t="shared" si="48"/>
        <v>检验费</v>
      </c>
    </row>
    <row r="223" customHeight="1" spans="1:5">
      <c r="A223" s="5" t="str">
        <f>"尿蛋白定性"</f>
        <v>尿蛋白定性</v>
      </c>
      <c r="B223" s="3">
        <v>250102005</v>
      </c>
      <c r="C223" s="4" t="str">
        <f t="shared" si="51"/>
        <v>0.5</v>
      </c>
      <c r="D223" s="3">
        <v>1</v>
      </c>
      <c r="E223" s="3" t="str">
        <f t="shared" si="48"/>
        <v>检验费</v>
      </c>
    </row>
    <row r="224" customHeight="1" spans="1:5">
      <c r="A224" s="5" t="str">
        <f>"尿蛋白定量(各种化学方法)"</f>
        <v>尿蛋白定量(各种化学方法)</v>
      </c>
      <c r="B224" s="3" t="str">
        <f>"250102006-a"</f>
        <v>250102006-a</v>
      </c>
      <c r="C224" s="4">
        <v>3</v>
      </c>
      <c r="D224" s="3">
        <v>1</v>
      </c>
      <c r="E224" s="3" t="str">
        <f t="shared" si="48"/>
        <v>检验费</v>
      </c>
    </row>
    <row r="225" customHeight="1" spans="1:5">
      <c r="A225" s="5" t="str">
        <f>"尿糖定性试验"</f>
        <v>尿糖定性试验</v>
      </c>
      <c r="B225" s="3">
        <v>250102010</v>
      </c>
      <c r="C225" s="4" t="str">
        <f>"0.5"</f>
        <v>0.5</v>
      </c>
      <c r="D225" s="3" t="str">
        <f t="shared" si="52"/>
        <v>项</v>
      </c>
      <c r="E225" s="3" t="str">
        <f t="shared" si="48"/>
        <v>检验费</v>
      </c>
    </row>
    <row r="226" customHeight="1" spans="1:5">
      <c r="A226" s="5" t="str">
        <f>"尿糖定量测定"</f>
        <v>尿糖定量测定</v>
      </c>
      <c r="B226" s="3">
        <v>250102011</v>
      </c>
      <c r="C226" s="4">
        <v>3</v>
      </c>
      <c r="D226" s="3" t="str">
        <f t="shared" si="52"/>
        <v>项</v>
      </c>
      <c r="E226" s="3" t="str">
        <f t="shared" si="48"/>
        <v>检验费</v>
      </c>
    </row>
    <row r="227" customHeight="1" spans="1:5">
      <c r="A227" s="5" t="str">
        <f>"尿酮体定性试验"</f>
        <v>尿酮体定性试验</v>
      </c>
      <c r="B227" s="3">
        <v>250102012</v>
      </c>
      <c r="C227" s="4" t="str">
        <f>"0.5"</f>
        <v>0.5</v>
      </c>
      <c r="D227" s="3" t="str">
        <f t="shared" si="52"/>
        <v>项</v>
      </c>
      <c r="E227" s="3" t="str">
        <f t="shared" si="48"/>
        <v>检验费</v>
      </c>
    </row>
    <row r="228" customHeight="1" spans="1:5">
      <c r="A228" s="5" t="str">
        <f>"尿三胆检查"</f>
        <v>尿三胆检查</v>
      </c>
      <c r="B228" s="3">
        <v>250102013</v>
      </c>
      <c r="C228" s="4">
        <v>1</v>
      </c>
      <c r="D228" s="3" t="str">
        <f t="shared" si="52"/>
        <v>项</v>
      </c>
      <c r="E228" s="3" t="str">
        <f t="shared" si="48"/>
        <v>检验费</v>
      </c>
    </row>
    <row r="229" customHeight="1" spans="1:5">
      <c r="A229" s="5" t="str">
        <f>"尿乳糜定性检查"</f>
        <v>尿乳糜定性检查</v>
      </c>
      <c r="B229" s="3">
        <v>250102016</v>
      </c>
      <c r="C229" s="4">
        <v>1</v>
      </c>
      <c r="D229" s="3" t="str">
        <f t="shared" si="52"/>
        <v>项</v>
      </c>
      <c r="E229" s="3" t="str">
        <f t="shared" si="48"/>
        <v>检验费</v>
      </c>
    </row>
    <row r="230" customHeight="1" spans="1:5">
      <c r="A230" s="5" t="str">
        <f>"尿浓缩稀释试验"</f>
        <v>尿浓缩稀释试验</v>
      </c>
      <c r="B230" s="3">
        <v>250102019</v>
      </c>
      <c r="C230" s="4">
        <v>2</v>
      </c>
      <c r="D230" s="3" t="str">
        <f t="shared" si="52"/>
        <v>项</v>
      </c>
      <c r="E230" s="3" t="str">
        <f t="shared" si="48"/>
        <v>检验费</v>
      </c>
    </row>
    <row r="231" customHeight="1" spans="1:5">
      <c r="A231" s="5" t="str">
        <f>"尿酚红排泄试验(PSP)"</f>
        <v>尿酚红排泄试验(PSP)</v>
      </c>
      <c r="B231" s="3">
        <v>250102020</v>
      </c>
      <c r="C231" s="4">
        <v>2</v>
      </c>
      <c r="D231" s="3" t="str">
        <f t="shared" si="52"/>
        <v>项</v>
      </c>
      <c r="E231" s="3" t="str">
        <f t="shared" si="48"/>
        <v>检验费</v>
      </c>
    </row>
    <row r="232" customHeight="1" spans="1:5">
      <c r="A232" s="5" t="str">
        <f>"尿妊娠试验"</f>
        <v>尿妊娠试验</v>
      </c>
      <c r="B232" s="3" t="str">
        <f>"250102021-b"</f>
        <v>250102021-b</v>
      </c>
      <c r="C232" s="4">
        <v>7</v>
      </c>
      <c r="D232" s="3" t="str">
        <f t="shared" si="52"/>
        <v>项</v>
      </c>
      <c r="E232" s="3" t="str">
        <f t="shared" si="48"/>
        <v>检验费</v>
      </c>
    </row>
    <row r="233" customHeight="1" spans="1:5">
      <c r="A233" s="5" t="str">
        <f>"尿沉渣定量"</f>
        <v>尿沉渣定量</v>
      </c>
      <c r="B233" s="3" t="str">
        <f>"250102024-a"</f>
        <v>250102024-a</v>
      </c>
      <c r="C233" s="4">
        <v>20</v>
      </c>
      <c r="D233" s="3" t="str">
        <f t="shared" si="52"/>
        <v>项</v>
      </c>
      <c r="E233" s="3" t="str">
        <f t="shared" si="48"/>
        <v>检验费</v>
      </c>
    </row>
    <row r="234" customHeight="1" spans="1:5">
      <c r="A234" s="5" t="str">
        <f>"尿三杯试验"</f>
        <v>尿三杯试验</v>
      </c>
      <c r="B234" s="3">
        <v>250102026</v>
      </c>
      <c r="C234" s="4">
        <v>2</v>
      </c>
      <c r="D234" s="3" t="str">
        <f t="shared" si="52"/>
        <v>项</v>
      </c>
      <c r="E234" s="3" t="str">
        <f t="shared" si="48"/>
        <v>检验费</v>
      </c>
    </row>
    <row r="235" customHeight="1" spans="1:5">
      <c r="A235" s="5" t="str">
        <f>"尿常规化学检测"</f>
        <v>尿常规化学检测</v>
      </c>
      <c r="B235" s="3">
        <v>250102035</v>
      </c>
      <c r="C235" s="4">
        <v>4.5</v>
      </c>
      <c r="D235" s="3" t="str">
        <f>"次"</f>
        <v>次</v>
      </c>
      <c r="E235" s="3" t="str">
        <f t="shared" si="48"/>
        <v>检验费</v>
      </c>
    </row>
    <row r="236" customHeight="1" spans="1:5">
      <c r="A236" s="5" t="str">
        <f>"尿液分析(使用抗维生素C试剂条加收)"</f>
        <v>尿液分析(使用抗维生素C试剂条加收)</v>
      </c>
      <c r="B236" s="3" t="str">
        <f>"250102035-a"</f>
        <v>250102035-a</v>
      </c>
      <c r="C236" s="4">
        <v>2</v>
      </c>
      <c r="D236" s="3" t="str">
        <f>"-"</f>
        <v>-</v>
      </c>
      <c r="E236" s="3" t="str">
        <f t="shared" si="48"/>
        <v>检验费</v>
      </c>
    </row>
    <row r="237" customHeight="1" spans="1:5">
      <c r="A237" s="5" t="str">
        <f>"尿碘快速测定"</f>
        <v>尿碘快速测定</v>
      </c>
      <c r="B237" s="3" t="str">
        <f>"250102035-b"</f>
        <v>250102035-b</v>
      </c>
      <c r="C237" s="4">
        <v>25</v>
      </c>
      <c r="D237" s="3" t="str">
        <f t="shared" ref="D237:D240" si="53">"项"</f>
        <v>项</v>
      </c>
      <c r="E237" s="3" t="str">
        <f t="shared" si="48"/>
        <v>检验费</v>
      </c>
    </row>
    <row r="238" customHeight="1" spans="1:5">
      <c r="A238" s="5" t="str">
        <f>"粪便常规"</f>
        <v>粪便常规</v>
      </c>
      <c r="B238" s="3" t="str">
        <f>"250103001-a"</f>
        <v>250103001-a</v>
      </c>
      <c r="C238" s="4">
        <v>10</v>
      </c>
      <c r="D238" s="3" t="str">
        <f t="shared" ref="D238:D243" si="54">"次"</f>
        <v>次</v>
      </c>
      <c r="E238" s="3" t="str">
        <f t="shared" si="48"/>
        <v>检验费</v>
      </c>
    </row>
    <row r="239" customHeight="1" spans="1:5">
      <c r="A239" s="5" t="str">
        <f>"粪便隐血试验(OB)"</f>
        <v>粪便隐血试验(OB)</v>
      </c>
      <c r="B239" s="3" t="str">
        <f>"250103002-b"</f>
        <v>250103002-b</v>
      </c>
      <c r="C239" s="4">
        <v>12</v>
      </c>
      <c r="D239" s="3" t="str">
        <f t="shared" si="53"/>
        <v>项</v>
      </c>
      <c r="E239" s="3" t="str">
        <f t="shared" si="48"/>
        <v>检验费</v>
      </c>
    </row>
    <row r="240" customHeight="1" spans="1:5">
      <c r="A240" s="5" t="str">
        <f>"乳糖耐受试验"</f>
        <v>乳糖耐受试验</v>
      </c>
      <c r="B240" s="3" t="str">
        <f>"250103004-b"</f>
        <v>250103004-b</v>
      </c>
      <c r="C240" s="4">
        <v>35</v>
      </c>
      <c r="D240" s="3" t="str">
        <f t="shared" si="53"/>
        <v>项</v>
      </c>
      <c r="E240" s="3" t="str">
        <f t="shared" si="48"/>
        <v>检验费</v>
      </c>
    </row>
    <row r="241" customHeight="1" spans="1:5">
      <c r="A241" s="5" t="str">
        <f>"胸腹水常规检查"</f>
        <v>胸腹水常规检查</v>
      </c>
      <c r="B241" s="3">
        <v>250104001</v>
      </c>
      <c r="C241" s="4">
        <v>10</v>
      </c>
      <c r="D241" s="3" t="str">
        <f t="shared" si="54"/>
        <v>次</v>
      </c>
      <c r="E241" s="3" t="str">
        <f t="shared" si="48"/>
        <v>检验费</v>
      </c>
    </row>
    <row r="242" customHeight="1" spans="1:5">
      <c r="A242" s="5" t="str">
        <f>"胸腹水特殊检查"</f>
        <v>胸腹水特殊检查</v>
      </c>
      <c r="B242" s="3">
        <v>250104002</v>
      </c>
      <c r="C242" s="4">
        <v>8</v>
      </c>
      <c r="D242" s="3" t="str">
        <f t="shared" si="54"/>
        <v>次</v>
      </c>
      <c r="E242" s="3" t="str">
        <f t="shared" si="48"/>
        <v>检验费</v>
      </c>
    </row>
    <row r="243" customHeight="1" spans="1:5">
      <c r="A243" s="5" t="str">
        <f>"精液常规检查"</f>
        <v>精液常规检查</v>
      </c>
      <c r="B243" s="3">
        <v>250104004</v>
      </c>
      <c r="C243" s="4">
        <v>10</v>
      </c>
      <c r="D243" s="3" t="str">
        <f t="shared" si="54"/>
        <v>次</v>
      </c>
      <c r="E243" s="3" t="str">
        <f t="shared" si="48"/>
        <v>检验费</v>
      </c>
    </row>
    <row r="244" customHeight="1" spans="1:5">
      <c r="A244" s="5" t="str">
        <f>"精子运动轨迹分析"</f>
        <v>精子运动轨迹分析</v>
      </c>
      <c r="B244" s="3">
        <v>250104008</v>
      </c>
      <c r="C244" s="4">
        <v>3</v>
      </c>
      <c r="D244" s="3" t="str">
        <f t="shared" ref="D244:D246" si="55">"项"</f>
        <v>项</v>
      </c>
      <c r="E244" s="3" t="str">
        <f t="shared" si="48"/>
        <v>检验费</v>
      </c>
    </row>
    <row r="245" customHeight="1" spans="1:5">
      <c r="A245" s="5" t="str">
        <f>"精子顶体完整率检查"</f>
        <v>精子顶体完整率检查</v>
      </c>
      <c r="B245" s="3">
        <v>250104009</v>
      </c>
      <c r="C245" s="4">
        <v>2</v>
      </c>
      <c r="D245" s="3" t="str">
        <f t="shared" si="55"/>
        <v>项</v>
      </c>
      <c r="E245" s="3" t="str">
        <f t="shared" si="48"/>
        <v>检验费</v>
      </c>
    </row>
    <row r="246" customHeight="1" spans="1:5">
      <c r="A246" s="5" t="str">
        <f>"前列腺液常规检查"</f>
        <v>前列腺液常规检查</v>
      </c>
      <c r="B246" s="3">
        <v>250104013</v>
      </c>
      <c r="C246" s="4">
        <v>2</v>
      </c>
      <c r="D246" s="3" t="str">
        <f t="shared" si="55"/>
        <v>项</v>
      </c>
      <c r="E246" s="3" t="str">
        <f t="shared" si="48"/>
        <v>检验费</v>
      </c>
    </row>
    <row r="247" customHeight="1" spans="1:5">
      <c r="A247" s="5" t="str">
        <f>"阴道分泌物检查"</f>
        <v>阴道分泌物检查</v>
      </c>
      <c r="B247" s="3">
        <v>250104014</v>
      </c>
      <c r="C247" s="4">
        <v>7</v>
      </c>
      <c r="D247" s="3" t="str">
        <f>"次"</f>
        <v>次</v>
      </c>
      <c r="E247" s="3" t="str">
        <f t="shared" si="48"/>
        <v>检验费</v>
      </c>
    </row>
    <row r="248" customHeight="1" spans="1:5">
      <c r="A248" s="5" t="str">
        <f>"细菌性阴道炎检查（白细胞酯梅）"</f>
        <v>细菌性阴道炎检查（白细胞酯梅）</v>
      </c>
      <c r="B248" s="3" t="str">
        <f>"250104014-a-1"</f>
        <v>250104014-a-1</v>
      </c>
      <c r="C248" s="4">
        <v>12</v>
      </c>
      <c r="D248" s="3">
        <v>1</v>
      </c>
      <c r="E248" s="3" t="str">
        <f t="shared" si="48"/>
        <v>检验费</v>
      </c>
    </row>
    <row r="249" customHeight="1" spans="1:5">
      <c r="A249" s="5" t="str">
        <f>"细菌性阴道炎检查（过氧化氢浓度）"</f>
        <v>细菌性阴道炎检查（过氧化氢浓度）</v>
      </c>
      <c r="B249" s="3" t="str">
        <f>"250104014-a-2"</f>
        <v>250104014-a-2</v>
      </c>
      <c r="C249" s="4">
        <v>12</v>
      </c>
      <c r="D249" s="3">
        <v>1</v>
      </c>
      <c r="E249" s="3" t="str">
        <f t="shared" si="48"/>
        <v>检验费</v>
      </c>
    </row>
    <row r="250" customHeight="1" spans="1:5">
      <c r="A250" s="5" t="str">
        <f>"细菌性阴道炎检查（葡萄糖酸苷酶）"</f>
        <v>细菌性阴道炎检查（葡萄糖酸苷酶）</v>
      </c>
      <c r="B250" s="3" t="str">
        <f>"250104014-a-3"</f>
        <v>250104014-a-3</v>
      </c>
      <c r="C250" s="4">
        <v>12</v>
      </c>
      <c r="D250" s="3">
        <v>1</v>
      </c>
      <c r="E250" s="3" t="str">
        <f t="shared" si="48"/>
        <v>检验费</v>
      </c>
    </row>
    <row r="251" customHeight="1" spans="1:5">
      <c r="A251" s="5" t="str">
        <f>"细菌性阴道炎检查(唾液酸苷酶）"</f>
        <v>细菌性阴道炎检查(唾液酸苷酶）</v>
      </c>
      <c r="B251" s="3" t="str">
        <f>"250104014-a-4"</f>
        <v>250104014-a-4</v>
      </c>
      <c r="C251" s="4">
        <v>12</v>
      </c>
      <c r="D251" s="3">
        <v>1</v>
      </c>
      <c r="E251" s="3" t="str">
        <f t="shared" si="48"/>
        <v>检验费</v>
      </c>
    </row>
    <row r="252" customHeight="1" spans="1:5">
      <c r="A252" s="5" t="str">
        <f>"细菌性阴道炎检查（乙酰氨基葡萄糖）"</f>
        <v>细菌性阴道炎检查（乙酰氨基葡萄糖）</v>
      </c>
      <c r="B252" s="3" t="str">
        <f>"250104014-a-5"</f>
        <v>250104014-a-5</v>
      </c>
      <c r="C252" s="4">
        <v>12</v>
      </c>
      <c r="D252" s="3" t="str">
        <f t="shared" ref="D252:D264" si="56">"项"</f>
        <v>项</v>
      </c>
      <c r="E252" s="3" t="str">
        <f t="shared" si="48"/>
        <v>检验费</v>
      </c>
    </row>
    <row r="253" customHeight="1" spans="1:5">
      <c r="A253" s="5" t="str">
        <f>"细菌性阴道炎检查(凝固酶)"</f>
        <v>细菌性阴道炎检查(凝固酶)</v>
      </c>
      <c r="B253" s="3" t="str">
        <f>"250104014-a-6"</f>
        <v>250104014-a-6</v>
      </c>
      <c r="C253" s="4">
        <v>12</v>
      </c>
      <c r="D253" s="3" t="str">
        <f t="shared" si="56"/>
        <v>项</v>
      </c>
      <c r="E253" s="3" t="str">
        <f t="shared" si="48"/>
        <v>检验费</v>
      </c>
    </row>
    <row r="254" customHeight="1" spans="1:5">
      <c r="A254" s="5" t="str">
        <f>"阴道分泌物胺测定"</f>
        <v>阴道分泌物胺测定</v>
      </c>
      <c r="B254" s="3" t="str">
        <f>"250104014-b"</f>
        <v>250104014-b</v>
      </c>
      <c r="C254" s="4">
        <v>20</v>
      </c>
      <c r="D254" s="3" t="str">
        <f t="shared" ref="D254:D256" si="57">"次"</f>
        <v>次</v>
      </c>
      <c r="E254" s="3" t="str">
        <f t="shared" si="48"/>
        <v>检验费</v>
      </c>
    </row>
    <row r="255" customHeight="1" spans="1:5">
      <c r="A255" s="5" t="str">
        <f>"痰液常规检查"</f>
        <v>痰液常规检查</v>
      </c>
      <c r="B255" s="3">
        <v>250104018</v>
      </c>
      <c r="C255" s="4">
        <v>2</v>
      </c>
      <c r="D255" s="3" t="str">
        <f t="shared" si="57"/>
        <v>次</v>
      </c>
      <c r="E255" s="3" t="str">
        <f t="shared" si="48"/>
        <v>检验费</v>
      </c>
    </row>
    <row r="256" customHeight="1" spans="1:5">
      <c r="A256" s="5" t="str">
        <f>"各种穿刺液常规检查"</f>
        <v>各种穿刺液常规检查</v>
      </c>
      <c r="B256" s="3">
        <v>250104019</v>
      </c>
      <c r="C256" s="4">
        <v>2</v>
      </c>
      <c r="D256" s="3" t="str">
        <f t="shared" si="57"/>
        <v>次</v>
      </c>
      <c r="E256" s="3" t="str">
        <f t="shared" si="48"/>
        <v>检验费</v>
      </c>
    </row>
    <row r="257" customHeight="1" spans="1:5">
      <c r="A257" s="5" t="str">
        <f>"血浆凝血酶原时间测定(PT)(电化学法)"</f>
        <v>血浆凝血酶原时间测定(PT)(电化学法)</v>
      </c>
      <c r="B257" s="3" t="str">
        <f>"250203020-b"</f>
        <v>250203020-b</v>
      </c>
      <c r="C257" s="4">
        <v>70</v>
      </c>
      <c r="D257" s="3" t="str">
        <f t="shared" si="56"/>
        <v>项</v>
      </c>
      <c r="E257" s="3" t="str">
        <f t="shared" si="48"/>
        <v>检验费</v>
      </c>
    </row>
    <row r="258" customHeight="1" spans="1:5">
      <c r="A258" s="5" t="str">
        <f>"白陶土部分凝血活酶时间测定(KPTT)(仪器法)"</f>
        <v>白陶土部分凝血活酶时间测定(KPTT)(仪器法)</v>
      </c>
      <c r="B258" s="3">
        <v>250203024</v>
      </c>
      <c r="C258" s="4">
        <v>15</v>
      </c>
      <c r="D258" s="3" t="str">
        <f t="shared" si="56"/>
        <v>项</v>
      </c>
      <c r="E258" s="3" t="str">
        <f t="shared" si="48"/>
        <v>检验费</v>
      </c>
    </row>
    <row r="259" customHeight="1" spans="1:5">
      <c r="A259" s="5" t="str">
        <f>"活化部分凝血活酶时间测定(APTT)"</f>
        <v>活化部分凝血活酶时间测定(APTT)</v>
      </c>
      <c r="B259" s="3">
        <v>250203025</v>
      </c>
      <c r="C259" s="4">
        <v>20</v>
      </c>
      <c r="D259" s="3" t="str">
        <f t="shared" si="56"/>
        <v>项</v>
      </c>
      <c r="E259" s="3" t="str">
        <f t="shared" si="48"/>
        <v>检验费</v>
      </c>
    </row>
    <row r="260" customHeight="1" spans="1:5">
      <c r="A260" s="5" t="str">
        <f>"活化凝血时间测定（ACT）"</f>
        <v>活化凝血时间测定（ACT）</v>
      </c>
      <c r="B260" s="3">
        <v>250203026</v>
      </c>
      <c r="C260" s="4">
        <v>10</v>
      </c>
      <c r="D260" s="3" t="str">
        <f t="shared" si="56"/>
        <v>项</v>
      </c>
      <c r="E260" s="3" t="str">
        <f t="shared" si="48"/>
        <v>检验费</v>
      </c>
    </row>
    <row r="261" customHeight="1" spans="1:5">
      <c r="A261" s="5" t="str">
        <f>"(FIB)血浆纤维蛋白原测定"</f>
        <v>(FIB)血浆纤维蛋白原测定</v>
      </c>
      <c r="B261" s="3">
        <v>250203030</v>
      </c>
      <c r="C261" s="4">
        <v>15</v>
      </c>
      <c r="D261" s="3" t="str">
        <f t="shared" si="56"/>
        <v>项</v>
      </c>
      <c r="E261" s="3" t="str">
        <f t="shared" si="48"/>
        <v>检验费</v>
      </c>
    </row>
    <row r="262" customHeight="1" spans="1:5">
      <c r="A262" s="5" t="str">
        <f>"凝血酶时间测定(TT)"</f>
        <v>凝血酶时间测定(TT)</v>
      </c>
      <c r="B262" s="3">
        <v>250203035</v>
      </c>
      <c r="C262" s="4">
        <v>12</v>
      </c>
      <c r="D262" s="3" t="str">
        <f t="shared" si="56"/>
        <v>项</v>
      </c>
      <c r="E262" s="3" t="str">
        <f t="shared" si="48"/>
        <v>检验费</v>
      </c>
    </row>
    <row r="263" customHeight="1" spans="1:5">
      <c r="A263" s="5" t="str">
        <f>"血浆D-二聚体测定(D-Dimer)"</f>
        <v>血浆D-二聚体测定(D-Dimer)</v>
      </c>
      <c r="B263" s="3">
        <v>250203066</v>
      </c>
      <c r="C263" s="4">
        <v>45</v>
      </c>
      <c r="D263" s="3" t="str">
        <f t="shared" si="56"/>
        <v>项</v>
      </c>
      <c r="E263" s="3" t="str">
        <f t="shared" si="48"/>
        <v>检验费</v>
      </c>
    </row>
    <row r="264" customHeight="1" spans="1:5">
      <c r="A264" s="5" t="str">
        <f>"血浆D-二聚体测定(D-Dimer)仪器法"</f>
        <v>血浆D-二聚体测定(D-Dimer)仪器法</v>
      </c>
      <c r="B264" s="3" t="str">
        <f>"250203066-b"</f>
        <v>250203066-b</v>
      </c>
      <c r="C264" s="4">
        <v>70</v>
      </c>
      <c r="D264" s="3" t="str">
        <f t="shared" si="56"/>
        <v>项</v>
      </c>
      <c r="E264" s="3" t="str">
        <f t="shared" si="48"/>
        <v>检验费</v>
      </c>
    </row>
    <row r="265" customHeight="1" spans="1:5">
      <c r="A265" s="5" t="str">
        <f>"红细胞流变特性检测"</f>
        <v>红细胞流变特性检测</v>
      </c>
      <c r="B265" s="3">
        <v>250203070</v>
      </c>
      <c r="C265" s="4">
        <v>15</v>
      </c>
      <c r="D265" s="3" t="str">
        <f>"次"</f>
        <v>次</v>
      </c>
      <c r="E265" s="3" t="str">
        <f t="shared" si="48"/>
        <v>检验费</v>
      </c>
    </row>
    <row r="266" customHeight="1" spans="1:5">
      <c r="A266" s="5" t="str">
        <f>"全血粘度测定（低切）"</f>
        <v>全血粘度测定（低切）</v>
      </c>
      <c r="B266" s="3" t="str">
        <f>"250203071-1"</f>
        <v>250203071-1</v>
      </c>
      <c r="C266" s="4">
        <v>15</v>
      </c>
      <c r="D266" s="3" t="str">
        <f t="shared" ref="D266:D271" si="58">"项"</f>
        <v>项</v>
      </c>
      <c r="E266" s="3" t="str">
        <f t="shared" si="48"/>
        <v>检验费</v>
      </c>
    </row>
    <row r="267" customHeight="1" spans="1:5">
      <c r="A267" s="5" t="str">
        <f>"全血粘度测定（中切）"</f>
        <v>全血粘度测定（中切）</v>
      </c>
      <c r="B267" s="3" t="str">
        <f>"250203071-2"</f>
        <v>250203071-2</v>
      </c>
      <c r="C267" s="4">
        <v>15</v>
      </c>
      <c r="D267" s="3" t="str">
        <f t="shared" si="58"/>
        <v>项</v>
      </c>
      <c r="E267" s="3" t="str">
        <f t="shared" si="48"/>
        <v>检验费</v>
      </c>
    </row>
    <row r="268" customHeight="1" spans="1:5">
      <c r="A268" s="5" t="str">
        <f>"全血粘度测定（高切）"</f>
        <v>全血粘度测定（高切）</v>
      </c>
      <c r="B268" s="3" t="str">
        <f>"250203071-3"</f>
        <v>250203071-3</v>
      </c>
      <c r="C268" s="4">
        <v>15</v>
      </c>
      <c r="D268" s="3" t="str">
        <f t="shared" si="58"/>
        <v>项</v>
      </c>
      <c r="E268" s="3" t="str">
        <f t="shared" ref="E268:E331" si="59">"检验费"</f>
        <v>检验费</v>
      </c>
    </row>
    <row r="269" customHeight="1" spans="1:5">
      <c r="A269" s="5" t="str">
        <f>"血浆粘度测定"</f>
        <v>血浆粘度测定</v>
      </c>
      <c r="B269" s="3">
        <v>250203072</v>
      </c>
      <c r="C269" s="4">
        <v>5</v>
      </c>
      <c r="D269" s="3" t="str">
        <f t="shared" si="58"/>
        <v>项</v>
      </c>
      <c r="E269" s="3" t="str">
        <f t="shared" si="59"/>
        <v>检验费</v>
      </c>
    </row>
    <row r="270" customHeight="1" spans="1:5">
      <c r="A270" s="5" t="str">
        <f>"血清总蛋白测定化学法"</f>
        <v>血清总蛋白测定化学法</v>
      </c>
      <c r="B270" s="3" t="str">
        <f>"250301001-a"</f>
        <v>250301001-a</v>
      </c>
      <c r="C270" s="4">
        <v>4</v>
      </c>
      <c r="D270" s="3" t="str">
        <f t="shared" si="58"/>
        <v>项</v>
      </c>
      <c r="E270" s="3" t="str">
        <f t="shared" si="59"/>
        <v>检验费</v>
      </c>
    </row>
    <row r="271" customHeight="1" spans="1:5">
      <c r="A271" s="5" t="str">
        <f>"血清白蛋白测定化学法"</f>
        <v>血清白蛋白测定化学法</v>
      </c>
      <c r="B271" s="3" t="str">
        <f>"250301002-a"</f>
        <v>250301002-a</v>
      </c>
      <c r="C271" s="4">
        <v>4</v>
      </c>
      <c r="D271" s="3" t="str">
        <f t="shared" si="58"/>
        <v>项</v>
      </c>
      <c r="E271" s="3" t="str">
        <f t="shared" si="59"/>
        <v>检验费</v>
      </c>
    </row>
    <row r="272" customHeight="1" spans="1:5">
      <c r="A272" s="5" t="str">
        <f>"超敏C反应蛋白测定（速率散射比浊法）"</f>
        <v>超敏C反应蛋白测定（速率散射比浊法）</v>
      </c>
      <c r="B272" s="3" t="str">
        <f>"250301017-a"</f>
        <v>250301017-a</v>
      </c>
      <c r="C272" s="4">
        <v>35</v>
      </c>
      <c r="D272" s="3" t="str">
        <f>"-"</f>
        <v>-</v>
      </c>
      <c r="E272" s="3" t="str">
        <f t="shared" si="59"/>
        <v>检验费</v>
      </c>
    </row>
    <row r="273" customHeight="1" spans="1:5">
      <c r="A273" s="5" t="str">
        <f>"高敏感C-反应蛋白测定（免疫比浊终点法）"</f>
        <v>高敏感C-反应蛋白测定（免疫比浊终点法）</v>
      </c>
      <c r="B273" s="3" t="str">
        <f>"250301017-d"</f>
        <v>250301017-d</v>
      </c>
      <c r="C273" s="4">
        <v>35</v>
      </c>
      <c r="D273" s="3" t="str">
        <f>"项"</f>
        <v>项</v>
      </c>
      <c r="E273" s="3" t="str">
        <f t="shared" si="59"/>
        <v>检验费</v>
      </c>
    </row>
    <row r="274" customHeight="1" spans="1:5">
      <c r="A274" s="5" t="str">
        <f>"葡萄糖测定"</f>
        <v>葡萄糖测定</v>
      </c>
      <c r="B274" s="3" t="str">
        <f>"250302001-1"</f>
        <v>250302001-1</v>
      </c>
      <c r="C274" s="4">
        <v>4</v>
      </c>
      <c r="D274" s="3" t="str">
        <f t="shared" ref="D274:D279" si="60">"次"</f>
        <v>次</v>
      </c>
      <c r="E274" s="3" t="str">
        <f t="shared" si="59"/>
        <v>检验费</v>
      </c>
    </row>
    <row r="275" customHeight="1" spans="1:5">
      <c r="A275" s="5" t="str">
        <f>"葡萄糖测定（各种酶法、酶电极法）(脑脊液)"</f>
        <v>葡萄糖测定（各种酶法、酶电极法）(脑脊液)</v>
      </c>
      <c r="B275" s="3" t="str">
        <f>"250302001-2"</f>
        <v>250302001-2</v>
      </c>
      <c r="C275" s="4">
        <v>4</v>
      </c>
      <c r="D275" s="3">
        <v>1</v>
      </c>
      <c r="E275" s="3" t="str">
        <f t="shared" si="59"/>
        <v>检验费</v>
      </c>
    </row>
    <row r="276" customHeight="1" spans="1:5">
      <c r="A276" s="5" t="str">
        <f>"葡萄糖测定（各种酶法、酶电极法）(尿标本)"</f>
        <v>葡萄糖测定（各种酶法、酶电极法）(尿标本)</v>
      </c>
      <c r="B276" s="3" t="str">
        <f>"250302001-3"</f>
        <v>250302001-3</v>
      </c>
      <c r="C276" s="4">
        <v>4</v>
      </c>
      <c r="D276" s="3">
        <v>1</v>
      </c>
      <c r="E276" s="3" t="str">
        <f t="shared" si="59"/>
        <v>检验费</v>
      </c>
    </row>
    <row r="277" customHeight="1" spans="1:5">
      <c r="A277" s="5" t="str">
        <f>"葡萄糖测定（各种酶法、酶电极法）(血清)"</f>
        <v>葡萄糖测定（各种酶法、酶电极法）(血清)</v>
      </c>
      <c r="B277" s="3" t="str">
        <f>"250302001-4"</f>
        <v>250302001-4</v>
      </c>
      <c r="C277" s="4">
        <v>4</v>
      </c>
      <c r="D277" s="3">
        <v>1</v>
      </c>
      <c r="E277" s="3" t="str">
        <f t="shared" si="59"/>
        <v>检验费</v>
      </c>
    </row>
    <row r="278" customHeight="1" spans="1:5">
      <c r="A278" s="5" t="str">
        <f>"糖化血红蛋白测定（各种免疫学方法）"</f>
        <v>糖化血红蛋白测定（各种免疫学方法）</v>
      </c>
      <c r="B278" s="3">
        <v>250302003</v>
      </c>
      <c r="C278" s="4">
        <v>30</v>
      </c>
      <c r="D278" s="3" t="str">
        <f t="shared" si="60"/>
        <v>次</v>
      </c>
      <c r="E278" s="3" t="str">
        <f t="shared" si="59"/>
        <v>检验费</v>
      </c>
    </row>
    <row r="279" customHeight="1" spans="1:5">
      <c r="A279" s="5" t="str">
        <f>"糖化血红蛋白测定"</f>
        <v>糖化血红蛋白测定</v>
      </c>
      <c r="B279" s="3" t="str">
        <f>"250302003-a"</f>
        <v>250302003-a</v>
      </c>
      <c r="C279" s="4">
        <v>60</v>
      </c>
      <c r="D279" s="3" t="str">
        <f t="shared" si="60"/>
        <v>次</v>
      </c>
      <c r="E279" s="3" t="str">
        <f t="shared" si="59"/>
        <v>检验费</v>
      </c>
    </row>
    <row r="280" customHeight="1" spans="1:5">
      <c r="A280" s="5" t="str">
        <f>"血清总胆固醇测定化学法、酶法"</f>
        <v>血清总胆固醇测定化学法、酶法</v>
      </c>
      <c r="B280" s="3" t="str">
        <f>"250303001-a"</f>
        <v>250303001-a</v>
      </c>
      <c r="C280" s="4">
        <v>4</v>
      </c>
      <c r="D280" s="3" t="str">
        <f t="shared" ref="D280:D296" si="61">"项"</f>
        <v>项</v>
      </c>
      <c r="E280" s="3" t="str">
        <f t="shared" si="59"/>
        <v>检验费</v>
      </c>
    </row>
    <row r="281" customHeight="1" spans="1:5">
      <c r="A281" s="5" t="str">
        <f>"血清甘油三酯测定化学法、酶法"</f>
        <v>血清甘油三酯测定化学法、酶法</v>
      </c>
      <c r="B281" s="3" t="str">
        <f>"250303002-a"</f>
        <v>250303002-a</v>
      </c>
      <c r="C281" s="4">
        <v>5</v>
      </c>
      <c r="D281" s="3" t="str">
        <f t="shared" si="61"/>
        <v>项</v>
      </c>
      <c r="E281" s="3" t="str">
        <f t="shared" si="59"/>
        <v>检验费</v>
      </c>
    </row>
    <row r="282" customHeight="1" spans="1:5">
      <c r="A282" s="5" t="str">
        <f>"血清高密度脂蛋白胆固醇测定"</f>
        <v>血清高密度脂蛋白胆固醇测定</v>
      </c>
      <c r="B282" s="3">
        <v>250303004</v>
      </c>
      <c r="C282" s="4">
        <v>8</v>
      </c>
      <c r="D282" s="3" t="str">
        <f t="shared" si="61"/>
        <v>项</v>
      </c>
      <c r="E282" s="3" t="str">
        <f t="shared" si="59"/>
        <v>检验费</v>
      </c>
    </row>
    <row r="283" customHeight="1" spans="1:5">
      <c r="A283" s="5" t="str">
        <f>"血清低密度脂蛋白胆固醇测定其他方法"</f>
        <v>血清低密度脂蛋白胆固醇测定其他方法</v>
      </c>
      <c r="B283" s="3" t="str">
        <f>"250303005-a"</f>
        <v>250303005-a</v>
      </c>
      <c r="C283" s="4">
        <v>4</v>
      </c>
      <c r="D283" s="3" t="str">
        <f t="shared" si="61"/>
        <v>项</v>
      </c>
      <c r="E283" s="3" t="str">
        <f t="shared" si="59"/>
        <v>检验费</v>
      </c>
    </row>
    <row r="284" customHeight="1" spans="1:5">
      <c r="A284" s="5" t="str">
        <f>"血清载脂蛋白AⅠ测定"</f>
        <v>血清载脂蛋白AⅠ测定</v>
      </c>
      <c r="B284" s="3">
        <v>250303007</v>
      </c>
      <c r="C284" s="4">
        <v>25</v>
      </c>
      <c r="D284" s="3" t="str">
        <f t="shared" si="61"/>
        <v>项</v>
      </c>
      <c r="E284" s="3" t="str">
        <f t="shared" si="59"/>
        <v>检验费</v>
      </c>
    </row>
    <row r="285" customHeight="1" spans="1:5">
      <c r="A285" s="5" t="str">
        <f>"血清载脂蛋白B测定"</f>
        <v>血清载脂蛋白B测定</v>
      </c>
      <c r="B285" s="3">
        <v>250303009</v>
      </c>
      <c r="C285" s="4">
        <v>25</v>
      </c>
      <c r="D285" s="3" t="str">
        <f t="shared" si="61"/>
        <v>项</v>
      </c>
      <c r="E285" s="3" t="str">
        <f t="shared" si="59"/>
        <v>检验费</v>
      </c>
    </row>
    <row r="286" customHeight="1" spans="1:5">
      <c r="A286" s="5" t="str">
        <f>"血清载脂蛋白α测定其他方法"</f>
        <v>血清载脂蛋白α测定其他方法</v>
      </c>
      <c r="B286" s="3" t="str">
        <f>"250303013-a"</f>
        <v>250303013-a</v>
      </c>
      <c r="C286" s="4">
        <v>4</v>
      </c>
      <c r="D286" s="3" t="str">
        <f t="shared" si="61"/>
        <v>项</v>
      </c>
      <c r="E286" s="3" t="str">
        <f t="shared" si="59"/>
        <v>检验费</v>
      </c>
    </row>
    <row r="287" customHeight="1" spans="1:5">
      <c r="A287" s="5" t="str">
        <f>"钾测定"</f>
        <v>钾测定</v>
      </c>
      <c r="B287" s="3">
        <v>250304001</v>
      </c>
      <c r="C287" s="4">
        <v>4</v>
      </c>
      <c r="D287" s="3" t="str">
        <f t="shared" si="61"/>
        <v>项</v>
      </c>
      <c r="E287" s="3" t="str">
        <f t="shared" si="59"/>
        <v>检验费</v>
      </c>
    </row>
    <row r="288" customHeight="1" spans="1:5">
      <c r="A288" s="5" t="str">
        <f>"钠测定"</f>
        <v>钠测定</v>
      </c>
      <c r="B288" s="3">
        <v>250304002</v>
      </c>
      <c r="C288" s="4">
        <v>4</v>
      </c>
      <c r="D288" s="3" t="str">
        <f t="shared" si="61"/>
        <v>项</v>
      </c>
      <c r="E288" s="3" t="str">
        <f t="shared" si="59"/>
        <v>检验费</v>
      </c>
    </row>
    <row r="289" customHeight="1" spans="1:5">
      <c r="A289" s="5" t="str">
        <f>"氯测定"</f>
        <v>氯测定</v>
      </c>
      <c r="B289" s="3">
        <v>250304003</v>
      </c>
      <c r="C289" s="4">
        <v>4</v>
      </c>
      <c r="D289" s="3" t="str">
        <f t="shared" si="61"/>
        <v>项</v>
      </c>
      <c r="E289" s="3" t="str">
        <f t="shared" si="59"/>
        <v>检验费</v>
      </c>
    </row>
    <row r="290" customHeight="1" spans="1:5">
      <c r="A290" s="5" t="str">
        <f>"钙测定"</f>
        <v>钙测定</v>
      </c>
      <c r="B290" s="3">
        <v>250304004</v>
      </c>
      <c r="C290" s="4">
        <v>4</v>
      </c>
      <c r="D290" s="3" t="str">
        <f t="shared" si="61"/>
        <v>项</v>
      </c>
      <c r="E290" s="3" t="str">
        <f t="shared" si="59"/>
        <v>检验费</v>
      </c>
    </row>
    <row r="291" customHeight="1" spans="1:5">
      <c r="A291" s="5" t="str">
        <f>"无机磷测定"</f>
        <v>无机磷测定</v>
      </c>
      <c r="B291" s="3">
        <v>250304005</v>
      </c>
      <c r="C291" s="4">
        <v>4</v>
      </c>
      <c r="D291" s="3" t="str">
        <f t="shared" si="61"/>
        <v>项</v>
      </c>
      <c r="E291" s="3" t="str">
        <f t="shared" si="59"/>
        <v>检验费</v>
      </c>
    </row>
    <row r="292" customHeight="1" spans="1:5">
      <c r="A292" s="5" t="str">
        <f>"铁测定"</f>
        <v>铁测定</v>
      </c>
      <c r="B292" s="3">
        <v>250304007</v>
      </c>
      <c r="C292" s="4">
        <v>5</v>
      </c>
      <c r="D292" s="3" t="str">
        <f t="shared" si="61"/>
        <v>项</v>
      </c>
      <c r="E292" s="3" t="str">
        <f t="shared" si="59"/>
        <v>检验费</v>
      </c>
    </row>
    <row r="293" customHeight="1" spans="1:5">
      <c r="A293" s="5" t="str">
        <f>"微量元素测定"</f>
        <v>微量元素测定</v>
      </c>
      <c r="B293" s="3">
        <v>250304013</v>
      </c>
      <c r="C293" s="4">
        <v>6</v>
      </c>
      <c r="D293" s="3" t="str">
        <f t="shared" si="61"/>
        <v>项</v>
      </c>
      <c r="E293" s="3" t="str">
        <f t="shared" si="59"/>
        <v>检验费</v>
      </c>
    </row>
    <row r="294" customHeight="1" spans="1:5">
      <c r="A294" s="5" t="str">
        <f>"微量元素测定(铜)"</f>
        <v>微量元素测定(铜)</v>
      </c>
      <c r="B294" s="3" t="str">
        <f>"250304013-1"</f>
        <v>250304013-1</v>
      </c>
      <c r="C294" s="4">
        <v>6</v>
      </c>
      <c r="D294" s="3" t="str">
        <f t="shared" si="61"/>
        <v>项</v>
      </c>
      <c r="E294" s="3" t="str">
        <f t="shared" si="59"/>
        <v>检验费</v>
      </c>
    </row>
    <row r="295" customHeight="1" spans="1:5">
      <c r="A295" s="5" t="str">
        <f>"血清总胆红素测定"</f>
        <v>血清总胆红素测定</v>
      </c>
      <c r="B295" s="3">
        <v>250305001</v>
      </c>
      <c r="C295" s="4">
        <v>4</v>
      </c>
      <c r="D295" s="3" t="str">
        <f t="shared" si="61"/>
        <v>项</v>
      </c>
      <c r="E295" s="3" t="str">
        <f t="shared" si="59"/>
        <v>检验费</v>
      </c>
    </row>
    <row r="296" customHeight="1" spans="1:5">
      <c r="A296" s="5" t="str">
        <f>"血清直接胆红素测定"</f>
        <v>血清直接胆红素测定</v>
      </c>
      <c r="B296" s="3">
        <v>250305002</v>
      </c>
      <c r="C296" s="4">
        <v>4</v>
      </c>
      <c r="D296" s="3" t="str">
        <f t="shared" si="61"/>
        <v>项</v>
      </c>
      <c r="E296" s="3" t="str">
        <f t="shared" si="59"/>
        <v>检验费</v>
      </c>
    </row>
    <row r="297" customHeight="1" spans="1:5">
      <c r="A297" s="5" t="str">
        <f>"血清间接胆红素测定"</f>
        <v>血清间接胆红素测定</v>
      </c>
      <c r="B297" s="3" t="str">
        <f>"250305003-a"</f>
        <v>250305003-a</v>
      </c>
      <c r="C297" s="4">
        <v>5</v>
      </c>
      <c r="D297" s="3" t="str">
        <f>"-"</f>
        <v>-</v>
      </c>
      <c r="E297" s="3" t="str">
        <f t="shared" si="59"/>
        <v>检验费</v>
      </c>
    </row>
    <row r="298" customHeight="1" spans="1:5">
      <c r="A298" s="5" t="str">
        <f>"血清总胆汁酸测定"</f>
        <v>血清总胆汁酸测定</v>
      </c>
      <c r="B298" s="3">
        <v>250305005</v>
      </c>
      <c r="C298" s="4">
        <v>5</v>
      </c>
      <c r="D298" s="3" t="str">
        <f t="shared" ref="D298:D303" si="62">"项"</f>
        <v>项</v>
      </c>
      <c r="E298" s="3" t="str">
        <f t="shared" si="59"/>
        <v>检验费</v>
      </c>
    </row>
    <row r="299" customHeight="1" spans="1:5">
      <c r="A299" s="5" t="str">
        <f>"(ALT)血清丙氨酸氨基转移酶测定"</f>
        <v>(ALT)血清丙氨酸氨基转移酶测定</v>
      </c>
      <c r="B299" s="3" t="str">
        <f>"250305007-b"</f>
        <v>250305007-b</v>
      </c>
      <c r="C299" s="4">
        <v>5</v>
      </c>
      <c r="D299" s="3" t="str">
        <f t="shared" si="62"/>
        <v>项</v>
      </c>
      <c r="E299" s="3" t="str">
        <f t="shared" si="59"/>
        <v>检验费</v>
      </c>
    </row>
    <row r="300" customHeight="1" spans="1:5">
      <c r="A300" s="5" t="str">
        <f>"(AST)血清天门冬氨酸氨基转移酶测定速率法"</f>
        <v>(AST)血清天门冬氨酸氨基转移酶测定速率法</v>
      </c>
      <c r="B300" s="3" t="str">
        <f>"250305008-b"</f>
        <v>250305008-b</v>
      </c>
      <c r="C300" s="4">
        <v>5</v>
      </c>
      <c r="D300" s="3" t="str">
        <f t="shared" si="62"/>
        <v>项</v>
      </c>
      <c r="E300" s="3" t="str">
        <f t="shared" si="59"/>
        <v>检验费</v>
      </c>
    </row>
    <row r="301" customHeight="1" spans="1:5">
      <c r="A301" s="5" t="str">
        <f>"血清γ-谷氨酰基转移酶测定速率法"</f>
        <v>血清γ-谷氨酰基转移酶测定速率法</v>
      </c>
      <c r="B301" s="3" t="str">
        <f>"250305009-b"</f>
        <v>250305009-b</v>
      </c>
      <c r="C301" s="4">
        <v>5</v>
      </c>
      <c r="D301" s="3" t="str">
        <f t="shared" si="62"/>
        <v>项</v>
      </c>
      <c r="E301" s="3" t="str">
        <f t="shared" si="59"/>
        <v>检验费</v>
      </c>
    </row>
    <row r="302" customHeight="1" spans="1:5">
      <c r="A302" s="5" t="str">
        <f>"(AKP)血清碱性磷酸酶测定速率法"</f>
        <v>(AKP)血清碱性磷酸酶测定速率法</v>
      </c>
      <c r="B302" s="3" t="str">
        <f>"250305011-b"</f>
        <v>250305011-b</v>
      </c>
      <c r="C302" s="4">
        <v>5</v>
      </c>
      <c r="D302" s="3" t="str">
        <f t="shared" si="62"/>
        <v>项</v>
      </c>
      <c r="E302" s="3" t="str">
        <f t="shared" si="59"/>
        <v>检验费</v>
      </c>
    </row>
    <row r="303" customHeight="1" spans="1:5">
      <c r="A303" s="5" t="str">
        <f>"血清骨型碱性磷酸酶质量测定"</f>
        <v>血清骨型碱性磷酸酶质量测定</v>
      </c>
      <c r="B303" s="3" t="str">
        <f>"250305013-b"</f>
        <v>250305013-b</v>
      </c>
      <c r="C303" s="4">
        <v>30</v>
      </c>
      <c r="D303" s="3" t="str">
        <f t="shared" si="62"/>
        <v>项</v>
      </c>
      <c r="E303" s="3" t="str">
        <f t="shared" si="59"/>
        <v>检验费</v>
      </c>
    </row>
    <row r="304" customHeight="1" spans="1:5">
      <c r="A304" s="5" t="str">
        <f>"血清胆碱脂酶测定（速率法）"</f>
        <v>血清胆碱脂酶测定（速率法）</v>
      </c>
      <c r="B304" s="3">
        <v>250305014</v>
      </c>
      <c r="C304" s="4">
        <v>5</v>
      </c>
      <c r="D304" s="3" t="str">
        <f t="shared" ref="D304:D307" si="63">"-"</f>
        <v>-</v>
      </c>
      <c r="E304" s="3" t="str">
        <f t="shared" si="59"/>
        <v>检验费</v>
      </c>
    </row>
    <row r="305" customHeight="1" spans="1:5">
      <c r="A305" s="5" t="str">
        <f>"胆酸测定"</f>
        <v>胆酸测定</v>
      </c>
      <c r="B305" s="3">
        <v>250305025</v>
      </c>
      <c r="C305" s="4">
        <v>10</v>
      </c>
      <c r="D305" s="3" t="str">
        <f t="shared" si="63"/>
        <v>-</v>
      </c>
      <c r="E305" s="3" t="str">
        <f t="shared" si="59"/>
        <v>检验费</v>
      </c>
    </row>
    <row r="306" customHeight="1" spans="1:5">
      <c r="A306" s="5" t="str">
        <f>"血清肌酸激酶测定（速率法）"</f>
        <v>血清肌酸激酶测定（速率法）</v>
      </c>
      <c r="B306" s="3" t="str">
        <f>"250306001-a"</f>
        <v>250306001-a</v>
      </c>
      <c r="C306" s="4">
        <v>5</v>
      </c>
      <c r="D306" s="3" t="str">
        <f t="shared" si="63"/>
        <v>-</v>
      </c>
      <c r="E306" s="3" t="str">
        <f t="shared" si="59"/>
        <v>检验费</v>
      </c>
    </row>
    <row r="307" customHeight="1" spans="1:5">
      <c r="A307" s="5" t="str">
        <f>"血清肌酸激酶-MB同工酶活性测定（速率法）"</f>
        <v>血清肌酸激酶-MB同工酶活性测定（速率法）</v>
      </c>
      <c r="B307" s="3" t="str">
        <f>"250306002-b"</f>
        <v>250306002-b</v>
      </c>
      <c r="C307" s="4">
        <v>5</v>
      </c>
      <c r="D307" s="3" t="str">
        <f t="shared" si="63"/>
        <v>-</v>
      </c>
      <c r="E307" s="3" t="str">
        <f t="shared" si="59"/>
        <v>检验费</v>
      </c>
    </row>
    <row r="308" customHeight="1" spans="1:5">
      <c r="A308" s="5" t="str">
        <f>"血清肌酸激酶－MB同工酶质量测定"</f>
        <v>血清肌酸激酶－MB同工酶质量测定</v>
      </c>
      <c r="B308" s="3" t="str">
        <f>"250306003-b"</f>
        <v>250306003-b</v>
      </c>
      <c r="C308" s="4">
        <v>70</v>
      </c>
      <c r="D308" s="3" t="str">
        <f t="shared" ref="D308:D317" si="64">"项"</f>
        <v>项</v>
      </c>
      <c r="E308" s="3" t="str">
        <f t="shared" si="59"/>
        <v>检验费</v>
      </c>
    </row>
    <row r="309" customHeight="1" spans="1:5">
      <c r="A309" s="5" t="str">
        <f>"(LDH)乳酸脱氢酶测定"</f>
        <v>(LDH)乳酸脱氢酶测定</v>
      </c>
      <c r="B309" s="3" t="str">
        <f>"250306005-a"</f>
        <v>250306005-a</v>
      </c>
      <c r="C309" s="4">
        <v>5</v>
      </c>
      <c r="D309" s="3" t="str">
        <f t="shared" si="64"/>
        <v>项</v>
      </c>
      <c r="E309" s="3" t="str">
        <f t="shared" si="59"/>
        <v>检验费</v>
      </c>
    </row>
    <row r="310" customHeight="1" spans="1:5">
      <c r="A310" s="5" t="str">
        <f>"血清α羟基丁酸脱氢酶测定速率法"</f>
        <v>血清α羟基丁酸脱氢酶测定速率法</v>
      </c>
      <c r="B310" s="3">
        <v>250306007</v>
      </c>
      <c r="C310" s="4">
        <v>10</v>
      </c>
      <c r="D310" s="3" t="str">
        <f t="shared" si="64"/>
        <v>项</v>
      </c>
      <c r="E310" s="3" t="str">
        <f t="shared" si="59"/>
        <v>检验费</v>
      </c>
    </row>
    <row r="311" customHeight="1" spans="1:5">
      <c r="A311" s="5" t="str">
        <f>"血清肌钙蛋白T测定（金标法）"</f>
        <v>血清肌钙蛋白T测定（金标法）</v>
      </c>
      <c r="B311" s="3" t="str">
        <f>"250306008-b"</f>
        <v>250306008-b</v>
      </c>
      <c r="C311" s="4">
        <v>70</v>
      </c>
      <c r="D311" s="3" t="str">
        <f t="shared" si="64"/>
        <v>项</v>
      </c>
      <c r="E311" s="3" t="str">
        <f t="shared" si="59"/>
        <v>检验费</v>
      </c>
    </row>
    <row r="312" customHeight="1" spans="1:5">
      <c r="A312" s="5" t="str">
        <f>"血清肌钙蛋白Ⅰ测定金标法"</f>
        <v>血清肌钙蛋白Ⅰ测定金标法</v>
      </c>
      <c r="B312" s="3" t="str">
        <f>"250306009-b"</f>
        <v>250306009-b</v>
      </c>
      <c r="C312" s="4">
        <v>70</v>
      </c>
      <c r="D312" s="3" t="str">
        <f t="shared" si="64"/>
        <v>项</v>
      </c>
      <c r="E312" s="3" t="str">
        <f t="shared" si="59"/>
        <v>检验费</v>
      </c>
    </row>
    <row r="313" customHeight="1" spans="1:5">
      <c r="A313" s="5" t="str">
        <f>"血同型半胱氨酸测定各种免疫学方法"</f>
        <v>血同型半胱氨酸测定各种免疫学方法</v>
      </c>
      <c r="B313" s="3">
        <v>250306011</v>
      </c>
      <c r="C313" s="4">
        <v>70</v>
      </c>
      <c r="D313" s="3" t="str">
        <f t="shared" si="64"/>
        <v>项</v>
      </c>
      <c r="E313" s="3" t="str">
        <f t="shared" si="59"/>
        <v>检验费</v>
      </c>
    </row>
    <row r="314" customHeight="1" spans="1:5">
      <c r="A314" s="5" t="str">
        <f>"N端-前脑钠肽（NT-PROBNP）测定"</f>
        <v>N端-前脑钠肽（NT-PROBNP）测定</v>
      </c>
      <c r="B314" s="3" t="str">
        <f>"250306013-a"</f>
        <v>250306013-a</v>
      </c>
      <c r="C314" s="4">
        <v>200</v>
      </c>
      <c r="D314" s="3" t="str">
        <f t="shared" si="64"/>
        <v>项</v>
      </c>
      <c r="E314" s="3" t="str">
        <f t="shared" si="59"/>
        <v>检验费</v>
      </c>
    </row>
    <row r="315" customHeight="1" spans="1:5">
      <c r="A315" s="5" t="str">
        <f>"尿素测定"</f>
        <v>尿素测定</v>
      </c>
      <c r="B315" s="3">
        <v>250307001</v>
      </c>
      <c r="C315" s="4">
        <v>4</v>
      </c>
      <c r="D315" s="3" t="str">
        <f t="shared" si="64"/>
        <v>项</v>
      </c>
      <c r="E315" s="3" t="str">
        <f t="shared" si="59"/>
        <v>检验费</v>
      </c>
    </row>
    <row r="316" customHeight="1" spans="1:5">
      <c r="A316" s="5" t="str">
        <f>"肌酐测定"</f>
        <v>肌酐测定</v>
      </c>
      <c r="B316" s="3">
        <v>250307002</v>
      </c>
      <c r="C316" s="4">
        <v>4</v>
      </c>
      <c r="D316" s="3" t="str">
        <f t="shared" si="64"/>
        <v>项</v>
      </c>
      <c r="E316" s="3" t="str">
        <f t="shared" si="59"/>
        <v>检验费</v>
      </c>
    </row>
    <row r="317" customHeight="1" spans="1:5">
      <c r="A317" s="5" t="str">
        <f>"血清尿酸测定"</f>
        <v>血清尿酸测定</v>
      </c>
      <c r="B317" s="3">
        <v>250307005</v>
      </c>
      <c r="C317" s="4">
        <v>3</v>
      </c>
      <c r="D317" s="3" t="str">
        <f t="shared" si="64"/>
        <v>项</v>
      </c>
      <c r="E317" s="3" t="str">
        <f t="shared" si="59"/>
        <v>检验费</v>
      </c>
    </row>
    <row r="318" customHeight="1" spans="1:5">
      <c r="A318" s="5" t="str">
        <f>"尿微量白蛋白测定（各种免疫学方法）"</f>
        <v>尿微量白蛋白测定（各种免疫学方法）</v>
      </c>
      <c r="B318" s="3">
        <v>250307006</v>
      </c>
      <c r="C318" s="4">
        <v>20</v>
      </c>
      <c r="D318" s="3" t="str">
        <f>"次"</f>
        <v>次</v>
      </c>
      <c r="E318" s="3" t="str">
        <f t="shared" si="59"/>
        <v>检验费</v>
      </c>
    </row>
    <row r="319" customHeight="1" spans="1:5">
      <c r="A319" s="5" t="str">
        <f>"尿微量白蛋白测定（化学发光法）"</f>
        <v>尿微量白蛋白测定（化学发光法）</v>
      </c>
      <c r="B319" s="3" t="str">
        <f>"250307006-a"</f>
        <v>250307006-a</v>
      </c>
      <c r="C319" s="4">
        <v>55</v>
      </c>
      <c r="D319" s="3" t="str">
        <f>"-"</f>
        <v>-</v>
      </c>
      <c r="E319" s="3" t="str">
        <f t="shared" si="59"/>
        <v>检验费</v>
      </c>
    </row>
    <row r="320" customHeight="1" spans="1:5">
      <c r="A320" s="5" t="str">
        <f>"尿浓缩试验"</f>
        <v>尿浓缩试验</v>
      </c>
      <c r="B320" s="3">
        <v>250307017</v>
      </c>
      <c r="C320" s="4">
        <v>10</v>
      </c>
      <c r="D320" s="3" t="str">
        <f t="shared" ref="D320:D334" si="65">"项"</f>
        <v>项</v>
      </c>
      <c r="E320" s="3" t="str">
        <f t="shared" si="59"/>
        <v>检验费</v>
      </c>
    </row>
    <row r="321" customHeight="1" spans="1:5">
      <c r="A321" s="5" t="str">
        <f>"淀粉酶测定"</f>
        <v>淀粉酶测定</v>
      </c>
      <c r="B321" s="3">
        <v>250308004</v>
      </c>
      <c r="C321" s="4">
        <v>6</v>
      </c>
      <c r="D321" s="3" t="str">
        <f t="shared" si="65"/>
        <v>项</v>
      </c>
      <c r="E321" s="3" t="str">
        <f t="shared" si="59"/>
        <v>检验费</v>
      </c>
    </row>
    <row r="322" customHeight="1" spans="1:5">
      <c r="A322" s="5" t="str">
        <f>"尿淀粉酶测定（比色法、速率法）"</f>
        <v>尿淀粉酶测定（比色法、速率法）</v>
      </c>
      <c r="B322" s="3" t="str">
        <f>"250308004-1"</f>
        <v>250308004-1</v>
      </c>
      <c r="C322" s="4">
        <v>6</v>
      </c>
      <c r="D322" s="3">
        <v>1</v>
      </c>
      <c r="E322" s="3" t="str">
        <f t="shared" si="59"/>
        <v>检验费</v>
      </c>
    </row>
    <row r="323" customHeight="1" spans="1:5">
      <c r="A323" s="5" t="str">
        <f>"淀粉酶测定（腹水）"</f>
        <v>淀粉酶测定（腹水）</v>
      </c>
      <c r="B323" s="3" t="str">
        <f>"250308004-2"</f>
        <v>250308004-2</v>
      </c>
      <c r="C323" s="4">
        <v>6</v>
      </c>
      <c r="D323" s="3" t="str">
        <f t="shared" si="65"/>
        <v>项</v>
      </c>
      <c r="E323" s="3" t="str">
        <f t="shared" si="59"/>
        <v>检验费</v>
      </c>
    </row>
    <row r="324" customHeight="1" spans="1:5">
      <c r="A324" s="5" t="str">
        <f>"25羟维生素D测定ELISA法"</f>
        <v>25羟维生素D测定ELISA法</v>
      </c>
      <c r="B324" s="3" t="str">
        <f>"250309001-a"</f>
        <v>250309001-a</v>
      </c>
      <c r="C324" s="4">
        <v>85</v>
      </c>
      <c r="D324" s="3" t="str">
        <f t="shared" si="65"/>
        <v>项</v>
      </c>
      <c r="E324" s="3" t="str">
        <f t="shared" si="59"/>
        <v>检验费</v>
      </c>
    </row>
    <row r="325" customHeight="1" spans="1:5">
      <c r="A325" s="5" t="str">
        <f>"血清促甲状腺激素测定各种免疫学方法"</f>
        <v>血清促甲状腺激素测定各种免疫学方法</v>
      </c>
      <c r="B325" s="3">
        <v>250310001</v>
      </c>
      <c r="C325" s="4">
        <v>20</v>
      </c>
      <c r="D325" s="3" t="str">
        <f t="shared" si="65"/>
        <v>项</v>
      </c>
      <c r="E325" s="3" t="str">
        <f t="shared" si="59"/>
        <v>检验费</v>
      </c>
    </row>
    <row r="326" customHeight="1" spans="1:5">
      <c r="A326" s="5" t="str">
        <f>"(TSH)血清促甲状腺激素测定"</f>
        <v>(TSH)血清促甲状腺激素测定</v>
      </c>
      <c r="B326" s="3" t="str">
        <f>"250310001-a"</f>
        <v>250310001-a</v>
      </c>
      <c r="C326" s="4">
        <v>40</v>
      </c>
      <c r="D326" s="3" t="str">
        <f t="shared" si="65"/>
        <v>项</v>
      </c>
      <c r="E326" s="3" t="str">
        <f t="shared" si="59"/>
        <v>检验费</v>
      </c>
    </row>
    <row r="327" customHeight="1" spans="1:5">
      <c r="A327" s="5" t="str">
        <f>"(PRL)血清泌乳素测定"</f>
        <v>(PRL)血清泌乳素测定</v>
      </c>
      <c r="B327" s="3" t="str">
        <f>"250310002-a"</f>
        <v>250310002-a</v>
      </c>
      <c r="C327" s="4">
        <v>45</v>
      </c>
      <c r="D327" s="3" t="str">
        <f t="shared" si="65"/>
        <v>项</v>
      </c>
      <c r="E327" s="3" t="str">
        <f t="shared" si="59"/>
        <v>检验费</v>
      </c>
    </row>
    <row r="328" customHeight="1" spans="1:5">
      <c r="A328" s="5" t="str">
        <f>"(FSH)血清促卵泡刺激素测定"</f>
        <v>(FSH)血清促卵泡刺激素测定</v>
      </c>
      <c r="B328" s="3" t="str">
        <f>"250310004-a"</f>
        <v>250310004-a</v>
      </c>
      <c r="C328" s="4">
        <v>40</v>
      </c>
      <c r="D328" s="3" t="str">
        <f t="shared" si="65"/>
        <v>项</v>
      </c>
      <c r="E328" s="3" t="str">
        <f t="shared" si="59"/>
        <v>检验费</v>
      </c>
    </row>
    <row r="329" customHeight="1" spans="1:5">
      <c r="A329" s="5" t="str">
        <f>"(LH)血清促黄体生成素测定"</f>
        <v>(LH)血清促黄体生成素测定</v>
      </c>
      <c r="B329" s="3" t="str">
        <f>"250310005-a"</f>
        <v>250310005-a</v>
      </c>
      <c r="C329" s="4">
        <v>40</v>
      </c>
      <c r="D329" s="3" t="str">
        <f t="shared" si="65"/>
        <v>项</v>
      </c>
      <c r="E329" s="3" t="str">
        <f t="shared" si="59"/>
        <v>检验费</v>
      </c>
    </row>
    <row r="330" customHeight="1" spans="1:5">
      <c r="A330" s="5" t="str">
        <f>"血清甲状腺素(T4)测定"</f>
        <v>血清甲状腺素(T4)测定</v>
      </c>
      <c r="B330" s="3" t="str">
        <f>"250310010-a"</f>
        <v>250310010-a</v>
      </c>
      <c r="C330" s="4">
        <v>40</v>
      </c>
      <c r="D330" s="3" t="str">
        <f t="shared" si="65"/>
        <v>项</v>
      </c>
      <c r="E330" s="3" t="str">
        <f t="shared" si="59"/>
        <v>检验费</v>
      </c>
    </row>
    <row r="331" customHeight="1" spans="1:5">
      <c r="A331" s="5" t="str">
        <f>"血清三碘甲状原氨酸(T3)测定"</f>
        <v>血清三碘甲状原氨酸(T3)测定</v>
      </c>
      <c r="B331" s="3" t="str">
        <f>"250310011-a"</f>
        <v>250310011-a</v>
      </c>
      <c r="C331" s="4">
        <v>40</v>
      </c>
      <c r="D331" s="3" t="str">
        <f t="shared" si="65"/>
        <v>项</v>
      </c>
      <c r="E331" s="3" t="str">
        <f t="shared" si="59"/>
        <v>检验费</v>
      </c>
    </row>
    <row r="332" customHeight="1" spans="1:5">
      <c r="A332" s="5" t="str">
        <f>"血清游离甲状腺素(FT4)测定"</f>
        <v>血清游离甲状腺素(FT4)测定</v>
      </c>
      <c r="B332" s="3" t="str">
        <f>"250310013-a"</f>
        <v>250310013-a</v>
      </c>
      <c r="C332" s="4">
        <v>40</v>
      </c>
      <c r="D332" s="3" t="str">
        <f t="shared" si="65"/>
        <v>项</v>
      </c>
      <c r="E332" s="3" t="str">
        <f t="shared" ref="E332:E395" si="66">"检验费"</f>
        <v>检验费</v>
      </c>
    </row>
    <row r="333" customHeight="1" spans="1:5">
      <c r="A333" s="5" t="str">
        <f>"血清游离三碘甲状原氨酸(FT3)测定"</f>
        <v>血清游离三碘甲状原氨酸(FT3)测定</v>
      </c>
      <c r="B333" s="3" t="str">
        <f>"250310014-a"</f>
        <v>250310014-a</v>
      </c>
      <c r="C333" s="4">
        <v>40</v>
      </c>
      <c r="D333" s="3" t="str">
        <f t="shared" si="65"/>
        <v>项</v>
      </c>
      <c r="E333" s="3" t="str">
        <f t="shared" si="66"/>
        <v>检验费</v>
      </c>
    </row>
    <row r="334" customHeight="1" spans="1:5">
      <c r="A334" s="5" t="str">
        <f>"(TRAB)促甲状腺素受体抗体测定"</f>
        <v>(TRAB)促甲状腺素受体抗体测定</v>
      </c>
      <c r="B334" s="3" t="str">
        <f>"250310017-a"</f>
        <v>250310017-a</v>
      </c>
      <c r="C334" s="4">
        <v>60</v>
      </c>
      <c r="D334" s="3" t="str">
        <f t="shared" si="65"/>
        <v>项</v>
      </c>
      <c r="E334" s="3" t="str">
        <f t="shared" si="66"/>
        <v>检验费</v>
      </c>
    </row>
    <row r="335" customHeight="1" spans="1:5">
      <c r="A335" s="5" t="str">
        <f>"血浆皮质醇测定"</f>
        <v>血浆皮质醇测定</v>
      </c>
      <c r="B335" s="3" t="str">
        <f>"250310018-a"</f>
        <v>250310018-a</v>
      </c>
      <c r="C335" s="4">
        <v>60</v>
      </c>
      <c r="D335" s="3" t="str">
        <f t="shared" ref="D335:D339" si="67">"-"</f>
        <v>-</v>
      </c>
      <c r="E335" s="3" t="str">
        <f t="shared" si="66"/>
        <v>检验费</v>
      </c>
    </row>
    <row r="336" customHeight="1" spans="1:5">
      <c r="A336" s="5" t="str">
        <f>"醛固酮测定（各种免疫学方法）"</f>
        <v>醛固酮测定（各种免疫学方法）</v>
      </c>
      <c r="B336" s="3">
        <v>250310023</v>
      </c>
      <c r="C336" s="4">
        <v>15</v>
      </c>
      <c r="D336" s="3" t="str">
        <f t="shared" ref="D336:D344" si="68">"项"</f>
        <v>项</v>
      </c>
      <c r="E336" s="3" t="str">
        <f t="shared" si="66"/>
        <v>检验费</v>
      </c>
    </row>
    <row r="337" customHeight="1" spans="1:5">
      <c r="A337" s="5" t="str">
        <f>"血浆肾素活性测定"</f>
        <v>血浆肾素活性测定</v>
      </c>
      <c r="B337" s="3">
        <v>250310026</v>
      </c>
      <c r="C337" s="4">
        <v>30</v>
      </c>
      <c r="D337" s="3" t="str">
        <f t="shared" si="67"/>
        <v>-</v>
      </c>
      <c r="E337" s="3" t="str">
        <f t="shared" si="66"/>
        <v>检验费</v>
      </c>
    </row>
    <row r="338" customHeight="1" spans="1:5">
      <c r="A338" s="5" t="str">
        <f>"血管紧张素Ⅰ测定"</f>
        <v>血管紧张素Ⅰ测定</v>
      </c>
      <c r="B338" s="3">
        <v>250310027</v>
      </c>
      <c r="C338" s="4">
        <v>12</v>
      </c>
      <c r="D338" s="3" t="str">
        <f t="shared" si="67"/>
        <v>-</v>
      </c>
      <c r="E338" s="3" t="str">
        <f t="shared" si="66"/>
        <v>检验费</v>
      </c>
    </row>
    <row r="339" customHeight="1" spans="1:5">
      <c r="A339" s="5" t="str">
        <f>"血管紧张素Ⅱ测定"</f>
        <v>血管紧张素Ⅱ测定</v>
      </c>
      <c r="B339" s="3">
        <v>250310028</v>
      </c>
      <c r="C339" s="4">
        <v>12</v>
      </c>
      <c r="D339" s="3" t="str">
        <f t="shared" si="67"/>
        <v>-</v>
      </c>
      <c r="E339" s="3" t="str">
        <f t="shared" si="66"/>
        <v>检验费</v>
      </c>
    </row>
    <row r="340" customHeight="1" spans="1:5">
      <c r="A340" s="5" t="str">
        <f>"(T)睾酮测定"</f>
        <v>(T)睾酮测定</v>
      </c>
      <c r="B340" s="3" t="str">
        <f>"250310030-a"</f>
        <v>250310030-a</v>
      </c>
      <c r="C340" s="4">
        <v>60</v>
      </c>
      <c r="D340" s="3" t="str">
        <f t="shared" si="68"/>
        <v>项</v>
      </c>
      <c r="E340" s="3" t="str">
        <f t="shared" si="66"/>
        <v>检验费</v>
      </c>
    </row>
    <row r="341" customHeight="1" spans="1:5">
      <c r="A341" s="5" t="str">
        <f>"17α羟孕酮测定（化学发光法、荧光免疫法）"</f>
        <v>17α羟孕酮测定（化学发光法、荧光免疫法）</v>
      </c>
      <c r="B341" s="3" t="str">
        <f>"250310033-a"</f>
        <v>250310033-a</v>
      </c>
      <c r="C341" s="4">
        <v>35</v>
      </c>
      <c r="D341" s="3" t="str">
        <f t="shared" si="68"/>
        <v>项</v>
      </c>
      <c r="E341" s="3" t="str">
        <f t="shared" si="66"/>
        <v>检验费</v>
      </c>
    </row>
    <row r="342" customHeight="1" spans="1:5">
      <c r="A342" s="5" t="str">
        <f>"(E2)雌二醇测定"</f>
        <v>(E2)雌二醇测定</v>
      </c>
      <c r="B342" s="3" t="str">
        <f>"250310036-a"</f>
        <v>250310036-a</v>
      </c>
      <c r="C342" s="4">
        <v>60</v>
      </c>
      <c r="D342" s="3" t="str">
        <f t="shared" si="68"/>
        <v>项</v>
      </c>
      <c r="E342" s="3" t="str">
        <f t="shared" si="66"/>
        <v>检验费</v>
      </c>
    </row>
    <row r="343" customHeight="1" spans="1:5">
      <c r="A343" s="5" t="str">
        <f>"(P)孕酮测定"</f>
        <v>(P)孕酮测定</v>
      </c>
      <c r="B343" s="3" t="str">
        <f>"250310037-a"</f>
        <v>250310037-a</v>
      </c>
      <c r="C343" s="4">
        <v>60</v>
      </c>
      <c r="D343" s="3" t="str">
        <f t="shared" si="68"/>
        <v>项</v>
      </c>
      <c r="E343" s="3" t="str">
        <f t="shared" si="66"/>
        <v>检验费</v>
      </c>
    </row>
    <row r="344" customHeight="1" spans="1:5">
      <c r="A344" s="5" t="str">
        <f>"(HCG)血清人绒毛膜促性腺激素测定"</f>
        <v>(HCG)血清人绒毛膜促性腺激素测定</v>
      </c>
      <c r="B344" s="3" t="str">
        <f>"250310038-a"</f>
        <v>250310038-a</v>
      </c>
      <c r="C344" s="4">
        <v>40</v>
      </c>
      <c r="D344" s="3" t="str">
        <f t="shared" si="68"/>
        <v>项</v>
      </c>
      <c r="E344" s="3" t="str">
        <f t="shared" si="66"/>
        <v>检验费</v>
      </c>
    </row>
    <row r="345" customHeight="1" spans="1:5">
      <c r="A345" s="5" t="str">
        <f>"人绒毛膜促性腺激素(HCG)定量测定"</f>
        <v>人绒毛膜促性腺激素(HCG)定量测定</v>
      </c>
      <c r="B345" s="3" t="str">
        <f>"250310038-b"</f>
        <v>250310038-b</v>
      </c>
      <c r="C345" s="4">
        <v>35</v>
      </c>
      <c r="D345" s="3" t="str">
        <f>"例"</f>
        <v>例</v>
      </c>
      <c r="E345" s="3" t="str">
        <f t="shared" si="66"/>
        <v>检验费</v>
      </c>
    </row>
    <row r="346" customHeight="1" spans="1:5">
      <c r="A346" s="5" t="str">
        <f>"血清胰岛素测定（各种免疫学方法）"</f>
        <v>血清胰岛素测定（各种免疫学方法）</v>
      </c>
      <c r="B346" s="3">
        <v>250310039</v>
      </c>
      <c r="C346" s="4">
        <v>10</v>
      </c>
      <c r="D346" s="3" t="str">
        <f t="shared" ref="D346:D353" si="69">"项"</f>
        <v>项</v>
      </c>
      <c r="E346" s="3" t="str">
        <f t="shared" si="66"/>
        <v>检验费</v>
      </c>
    </row>
    <row r="347" customHeight="1" spans="1:5">
      <c r="A347" s="5" t="str">
        <f>"(INS)血清胰岛素测定"</f>
        <v>(INS)血清胰岛素测定</v>
      </c>
      <c r="B347" s="3" t="str">
        <f>"250310039-a"</f>
        <v>250310039-a</v>
      </c>
      <c r="C347" s="4">
        <v>40</v>
      </c>
      <c r="D347" s="3" t="str">
        <f t="shared" si="69"/>
        <v>项</v>
      </c>
      <c r="E347" s="3" t="str">
        <f t="shared" si="66"/>
        <v>检验费</v>
      </c>
    </row>
    <row r="348" customHeight="1" spans="1:5">
      <c r="A348" s="5" t="str">
        <f>"血清胰高血糖测定（各种免疫学方法）"</f>
        <v>血清胰高血糖测定（各种免疫学方法）</v>
      </c>
      <c r="B348" s="3">
        <v>250310040</v>
      </c>
      <c r="C348" s="4">
        <v>20</v>
      </c>
      <c r="D348" s="3" t="str">
        <f t="shared" si="69"/>
        <v>项</v>
      </c>
      <c r="E348" s="3" t="str">
        <f t="shared" si="66"/>
        <v>检验费</v>
      </c>
    </row>
    <row r="349" customHeight="1" spans="1:5">
      <c r="A349" s="5" t="str">
        <f>"抗甲状腺球蛋白抗体测定(TGAb)"</f>
        <v>抗甲状腺球蛋白抗体测定(TGAb)</v>
      </c>
      <c r="B349" s="3" t="str">
        <f>"250402017-a"</f>
        <v>250402017-a</v>
      </c>
      <c r="C349" s="4">
        <v>35</v>
      </c>
      <c r="D349" s="3" t="str">
        <f t="shared" si="69"/>
        <v>项</v>
      </c>
      <c r="E349" s="3" t="str">
        <f t="shared" si="66"/>
        <v>检验费</v>
      </c>
    </row>
    <row r="350" customHeight="1" spans="1:5">
      <c r="A350" s="5" t="str">
        <f>"抗胰岛素抗体测定凝集法"</f>
        <v>抗胰岛素抗体测定凝集法</v>
      </c>
      <c r="B350" s="3">
        <v>250402026</v>
      </c>
      <c r="C350" s="4">
        <v>15</v>
      </c>
      <c r="D350" s="3" t="str">
        <f t="shared" si="69"/>
        <v>项</v>
      </c>
      <c r="E350" s="3" t="str">
        <f t="shared" si="66"/>
        <v>检验费</v>
      </c>
    </row>
    <row r="351" customHeight="1" spans="1:5">
      <c r="A351" s="5" t="str">
        <f>"抗胰岛素抗体测定ELISA法"</f>
        <v>抗胰岛素抗体测定ELISA法</v>
      </c>
      <c r="B351" s="3" t="str">
        <f>"250402026-a"</f>
        <v>250402026-a</v>
      </c>
      <c r="C351" s="4">
        <v>45</v>
      </c>
      <c r="D351" s="3" t="str">
        <f t="shared" si="69"/>
        <v>项</v>
      </c>
      <c r="E351" s="3" t="str">
        <f t="shared" si="66"/>
        <v>检验费</v>
      </c>
    </row>
    <row r="352" customHeight="1" spans="1:5">
      <c r="A352" s="5" t="str">
        <f>"抗载脂蛋白抗体测定"</f>
        <v>抗载脂蛋白抗体测定</v>
      </c>
      <c r="B352" s="3">
        <v>250402033</v>
      </c>
      <c r="C352" s="4">
        <v>15</v>
      </c>
      <c r="D352" s="3" t="str">
        <f t="shared" si="69"/>
        <v>项</v>
      </c>
      <c r="E352" s="3" t="str">
        <f t="shared" si="66"/>
        <v>检验费</v>
      </c>
    </row>
    <row r="353" customHeight="1" spans="1:5">
      <c r="A353" s="5" t="str">
        <f>"类风湿因子(RF)测定"</f>
        <v>类风湿因子(RF)测定</v>
      </c>
      <c r="B353" s="3">
        <v>250402035</v>
      </c>
      <c r="C353" s="4">
        <v>15</v>
      </c>
      <c r="D353" s="3" t="str">
        <f t="shared" si="69"/>
        <v>项</v>
      </c>
      <c r="E353" s="3" t="str">
        <f t="shared" si="66"/>
        <v>检验费</v>
      </c>
    </row>
    <row r="354" customHeight="1" spans="1:5">
      <c r="A354" s="5" t="str">
        <f>"甲型肝炎抗体测定(Anti-HAV)（酶免法、放免法）IgM"</f>
        <v>甲型肝炎抗体测定(Anti-HAV)（酶免法、放免法）IgM</v>
      </c>
      <c r="B354" s="3" t="str">
        <f>"250403001-a"</f>
        <v>250403001-a</v>
      </c>
      <c r="C354" s="4">
        <v>10</v>
      </c>
      <c r="D354" s="3" t="str">
        <f>"-"</f>
        <v>-</v>
      </c>
      <c r="E354" s="3" t="str">
        <f t="shared" si="66"/>
        <v>检验费</v>
      </c>
    </row>
    <row r="355" customHeight="1" spans="1:5">
      <c r="A355" s="5" t="str">
        <f>"乙型肝炎表面抗原测定(HBsAg)ELISA法"</f>
        <v>乙型肝炎表面抗原测定(HBsAg)ELISA法</v>
      </c>
      <c r="B355" s="3">
        <v>250403004</v>
      </c>
      <c r="C355" s="4">
        <v>8</v>
      </c>
      <c r="D355" s="3" t="str">
        <f t="shared" ref="D355:D362" si="70">"项"</f>
        <v>项</v>
      </c>
      <c r="E355" s="3" t="str">
        <f t="shared" si="66"/>
        <v>检验费</v>
      </c>
    </row>
    <row r="356" customHeight="1" spans="1:5">
      <c r="A356" s="5" t="str">
        <f>"乙型肝炎表面抗体测定(Anti-HBs)ELISA法"</f>
        <v>乙型肝炎表面抗体测定(Anti-HBs)ELISA法</v>
      </c>
      <c r="B356" s="3">
        <v>250403005</v>
      </c>
      <c r="C356" s="4">
        <v>8</v>
      </c>
      <c r="D356" s="3" t="str">
        <f t="shared" si="70"/>
        <v>项</v>
      </c>
      <c r="E356" s="3" t="str">
        <f t="shared" si="66"/>
        <v>检验费</v>
      </c>
    </row>
    <row r="357" customHeight="1" spans="1:5">
      <c r="A357" s="5" t="str">
        <f>"乙型肝炎e抗原测定(HBeAg)（免疫学法）"</f>
        <v>乙型肝炎e抗原测定(HBeAg)（免疫学法）</v>
      </c>
      <c r="B357" s="3">
        <v>250403006</v>
      </c>
      <c r="C357" s="4">
        <v>4</v>
      </c>
      <c r="D357" s="3" t="str">
        <f t="shared" si="70"/>
        <v>项</v>
      </c>
      <c r="E357" s="3" t="str">
        <f t="shared" si="66"/>
        <v>检验费</v>
      </c>
    </row>
    <row r="358" customHeight="1" spans="1:5">
      <c r="A358" s="5" t="str">
        <f>"乙型肝炎e抗体测定(Anti-HBe)免疫学法"</f>
        <v>乙型肝炎e抗体测定(Anti-HBe)免疫学法</v>
      </c>
      <c r="B358" s="3">
        <v>250403007</v>
      </c>
      <c r="C358" s="4">
        <v>4</v>
      </c>
      <c r="D358" s="3" t="str">
        <f t="shared" si="70"/>
        <v>项</v>
      </c>
      <c r="E358" s="3" t="str">
        <f t="shared" si="66"/>
        <v>检验费</v>
      </c>
    </row>
    <row r="359" customHeight="1" spans="1:5">
      <c r="A359" s="5" t="str">
        <f>"乙型肝炎核心抗体测定(Anti-HBc)（ELISA法）"</f>
        <v>乙型肝炎核心抗体测定(Anti-HBc)（ELISA法）</v>
      </c>
      <c r="B359" s="3">
        <v>250403009</v>
      </c>
      <c r="C359" s="4">
        <v>8</v>
      </c>
      <c r="D359" s="3" t="str">
        <f t="shared" si="70"/>
        <v>项</v>
      </c>
      <c r="E359" s="3" t="str">
        <f t="shared" si="66"/>
        <v>检验费</v>
      </c>
    </row>
    <row r="360" customHeight="1" spans="1:5">
      <c r="A360" s="5" t="str">
        <f>"乙型肝炎表面前S抗原测定（ELISA法）"</f>
        <v>乙型肝炎表面前S抗原测定（ELISA法）</v>
      </c>
      <c r="B360" s="3" t="str">
        <f>"250403011-a"</f>
        <v>250403011-a</v>
      </c>
      <c r="C360" s="4">
        <v>25</v>
      </c>
      <c r="D360" s="3" t="str">
        <f t="shared" si="70"/>
        <v>项</v>
      </c>
      <c r="E360" s="3" t="str">
        <f t="shared" si="66"/>
        <v>检验费</v>
      </c>
    </row>
    <row r="361" customHeight="1" spans="1:5">
      <c r="A361" s="5" t="str">
        <f>"丙型肝炎抗体测定(Anti-HCV)"</f>
        <v>丙型肝炎抗体测定(Anti-HCV)</v>
      </c>
      <c r="B361" s="3">
        <v>250403014</v>
      </c>
      <c r="C361" s="4">
        <v>25</v>
      </c>
      <c r="D361" s="3" t="str">
        <f t="shared" si="70"/>
        <v>项</v>
      </c>
      <c r="E361" s="3" t="str">
        <f t="shared" si="66"/>
        <v>检验费</v>
      </c>
    </row>
    <row r="362" customHeight="1" spans="1:5">
      <c r="A362" s="5" t="str">
        <f>"人免疫缺陷病毒抗体测定(Anti-HIV)"</f>
        <v>人免疫缺陷病毒抗体测定(Anti-HIV)</v>
      </c>
      <c r="B362" s="3" t="str">
        <f>"250403019-a"</f>
        <v>250403019-a</v>
      </c>
      <c r="C362" s="4">
        <v>35</v>
      </c>
      <c r="D362" s="3" t="str">
        <f t="shared" si="70"/>
        <v>项</v>
      </c>
      <c r="E362" s="3" t="str">
        <f t="shared" si="66"/>
        <v>检验费</v>
      </c>
    </row>
    <row r="363" customHeight="1" spans="1:5">
      <c r="A363" s="5" t="str">
        <f>"弓形体抗体测定IgM（各种免疫学方法）"</f>
        <v>弓形体抗体测定IgM（各种免疫学方法）</v>
      </c>
      <c r="B363" s="3" t="str">
        <f>"250403020-b"</f>
        <v>250403020-b</v>
      </c>
      <c r="C363" s="4">
        <v>25</v>
      </c>
      <c r="D363" s="3" t="str">
        <f>"-"</f>
        <v>-</v>
      </c>
      <c r="E363" s="3" t="str">
        <f t="shared" si="66"/>
        <v>检验费</v>
      </c>
    </row>
    <row r="364" customHeight="1" spans="1:5">
      <c r="A364" s="5" t="str">
        <f>"风疹病毒抗体测定IgM（各种免疫学方法）"</f>
        <v>风疹病毒抗体测定IgM（各种免疫学方法）</v>
      </c>
      <c r="B364" s="3" t="str">
        <f>"250403021-2"</f>
        <v>250403021-2</v>
      </c>
      <c r="C364" s="4">
        <v>20</v>
      </c>
      <c r="D364" s="3" t="str">
        <f t="shared" ref="D364:D374" si="71">"项"</f>
        <v>项</v>
      </c>
      <c r="E364" s="3" t="str">
        <f t="shared" si="66"/>
        <v>检验费</v>
      </c>
    </row>
    <row r="365" customHeight="1" spans="1:5">
      <c r="A365" s="5" t="str">
        <f>"巨细胞病毒抗体测定IgM"</f>
        <v>巨细胞病毒抗体测定IgM</v>
      </c>
      <c r="B365" s="3" t="str">
        <f>"250403022-2"</f>
        <v>250403022-2</v>
      </c>
      <c r="C365" s="4">
        <v>25</v>
      </c>
      <c r="D365" s="3" t="str">
        <f t="shared" si="71"/>
        <v>项</v>
      </c>
      <c r="E365" s="3" t="str">
        <f t="shared" si="66"/>
        <v>检验费</v>
      </c>
    </row>
    <row r="366" customHeight="1" spans="1:5">
      <c r="A366" s="5" t="str">
        <f>"单纯疱疹病毒Ⅱ型抗体测定（各种免疫学方法）"</f>
        <v>单纯疱疹病毒Ⅱ型抗体测定（各种免疫学方法）</v>
      </c>
      <c r="B366" s="3">
        <v>250403023</v>
      </c>
      <c r="C366" s="4">
        <v>25</v>
      </c>
      <c r="D366" s="3" t="str">
        <f>"-"</f>
        <v>-</v>
      </c>
      <c r="E366" s="3" t="str">
        <f t="shared" si="66"/>
        <v>检验费</v>
      </c>
    </row>
    <row r="367" customHeight="1" spans="1:5">
      <c r="A367" s="5" t="str">
        <f>"EB病毒抗体测定"</f>
        <v>EB病毒抗体测定</v>
      </c>
      <c r="B367" s="3">
        <v>250403025</v>
      </c>
      <c r="C367" s="4">
        <v>20</v>
      </c>
      <c r="D367" s="3" t="str">
        <f t="shared" si="71"/>
        <v>项</v>
      </c>
      <c r="E367" s="3" t="str">
        <f t="shared" si="66"/>
        <v>检验费</v>
      </c>
    </row>
    <row r="368" customHeight="1" spans="1:5">
      <c r="A368" s="5" t="str">
        <f>"细菌抗体测定（各种免疫学方法）"</f>
        <v>细菌抗体测定（各种免疫学方法）</v>
      </c>
      <c r="B368" s="3">
        <v>250403042</v>
      </c>
      <c r="C368" s="4">
        <v>25</v>
      </c>
      <c r="D368" s="3" t="str">
        <f t="shared" si="71"/>
        <v>项</v>
      </c>
      <c r="E368" s="3" t="str">
        <f t="shared" si="66"/>
        <v>检验费</v>
      </c>
    </row>
    <row r="369" customHeight="1" spans="1:5">
      <c r="A369" s="5" t="str">
        <f>"细菌抗体测定"</f>
        <v>细菌抗体测定</v>
      </c>
      <c r="B369" s="3" t="str">
        <f>"250403042-a"</f>
        <v>250403042-a</v>
      </c>
      <c r="C369" s="4">
        <v>45</v>
      </c>
      <c r="D369" s="3" t="str">
        <f t="shared" si="71"/>
        <v>项</v>
      </c>
      <c r="E369" s="3" t="str">
        <f t="shared" si="66"/>
        <v>检验费</v>
      </c>
    </row>
    <row r="370" customHeight="1" spans="1:5">
      <c r="A370" s="5" t="str">
        <f>"抗链球菌溶血素O测定(ASO)"</f>
        <v>抗链球菌溶血素O测定(ASO)</v>
      </c>
      <c r="B370" s="3">
        <v>250403043</v>
      </c>
      <c r="C370" s="4">
        <v>15</v>
      </c>
      <c r="D370" s="3" t="str">
        <f t="shared" si="71"/>
        <v>项</v>
      </c>
      <c r="E370" s="3" t="str">
        <f t="shared" si="66"/>
        <v>检验费</v>
      </c>
    </row>
    <row r="371" customHeight="1" spans="1:5">
      <c r="A371" s="5" t="str">
        <f>"肺炎支原体血清学试验免疫印迹法"</f>
        <v>肺炎支原体血清学试验免疫印迹法</v>
      </c>
      <c r="B371" s="3" t="str">
        <f>"250403050-a"</f>
        <v>250403050-a</v>
      </c>
      <c r="C371" s="4">
        <v>45</v>
      </c>
      <c r="D371" s="3" t="str">
        <f t="shared" si="71"/>
        <v>项</v>
      </c>
      <c r="E371" s="3" t="str">
        <f t="shared" si="66"/>
        <v>检验费</v>
      </c>
    </row>
    <row r="372" customHeight="1" spans="1:5">
      <c r="A372" s="5" t="str">
        <f>"梅毒螺旋体特异抗体测定（凝集法）"</f>
        <v>梅毒螺旋体特异抗体测定（凝集法）</v>
      </c>
      <c r="B372" s="3">
        <v>250403053</v>
      </c>
      <c r="C372" s="4">
        <v>20</v>
      </c>
      <c r="D372" s="3" t="str">
        <f t="shared" si="71"/>
        <v>项</v>
      </c>
      <c r="E372" s="3" t="str">
        <f t="shared" si="66"/>
        <v>检验费</v>
      </c>
    </row>
    <row r="373" customHeight="1" spans="1:5">
      <c r="A373" s="5" t="str">
        <f>"快速血浆反应素检测"</f>
        <v>快速血浆反应素检测</v>
      </c>
      <c r="B373" s="3">
        <v>250403054</v>
      </c>
      <c r="C373" s="4">
        <v>20</v>
      </c>
      <c r="D373" s="3" t="str">
        <f t="shared" si="71"/>
        <v>项</v>
      </c>
      <c r="E373" s="3" t="str">
        <f t="shared" si="66"/>
        <v>检验费</v>
      </c>
    </row>
    <row r="374" customHeight="1" spans="1:5">
      <c r="A374" s="5" t="str">
        <f>"快速血浆反应素测定(梅毒、定量)"</f>
        <v>快速血浆反应素测定(梅毒、定量)</v>
      </c>
      <c r="B374" s="3" t="str">
        <f>"250403054-a"</f>
        <v>250403054-a</v>
      </c>
      <c r="C374" s="4">
        <v>40</v>
      </c>
      <c r="D374" s="3" t="str">
        <f t="shared" si="71"/>
        <v>项</v>
      </c>
      <c r="E374" s="3" t="str">
        <f t="shared" si="66"/>
        <v>检验费</v>
      </c>
    </row>
    <row r="375" customHeight="1" spans="1:5">
      <c r="A375" s="5" t="str">
        <f>"人乳头瘤病毒(HPV)DNA测定"</f>
        <v>人乳头瘤病毒(HPV)DNA测定</v>
      </c>
      <c r="B375" s="3" t="str">
        <f>"250403066-a"</f>
        <v>250403066-a</v>
      </c>
      <c r="C375" s="4">
        <v>320</v>
      </c>
      <c r="D375" s="3" t="str">
        <f>"次"</f>
        <v>次</v>
      </c>
      <c r="E375" s="3" t="str">
        <f t="shared" si="66"/>
        <v>检验费</v>
      </c>
    </row>
    <row r="376" customHeight="1" spans="1:5">
      <c r="A376" s="5" t="str">
        <f>"幽门螺旋杆菌快速测定"</f>
        <v>幽门螺旋杆菌快速测定</v>
      </c>
      <c r="B376" s="3">
        <v>250403078</v>
      </c>
      <c r="C376" s="4">
        <v>46</v>
      </c>
      <c r="D376" s="3">
        <v>1</v>
      </c>
      <c r="E376" s="3" t="str">
        <f t="shared" si="66"/>
        <v>检验费</v>
      </c>
    </row>
    <row r="377" customHeight="1" spans="1:5">
      <c r="A377" s="5" t="str">
        <f>"13碳尿素呼气试验"</f>
        <v>13碳尿素呼气试验</v>
      </c>
      <c r="B377" s="3">
        <v>250403079</v>
      </c>
      <c r="C377" s="4">
        <v>150</v>
      </c>
      <c r="D377" s="3" t="str">
        <f>"次"</f>
        <v>次</v>
      </c>
      <c r="E377" s="3" t="str">
        <f t="shared" si="66"/>
        <v>检验费</v>
      </c>
    </row>
    <row r="378" customHeight="1" spans="1:5">
      <c r="A378" s="5" t="str">
        <f>"新型冠状病毒抗体检测"</f>
        <v>新型冠状病毒抗体检测</v>
      </c>
      <c r="B378" s="3">
        <v>250403091</v>
      </c>
      <c r="C378" s="4">
        <v>40</v>
      </c>
      <c r="D378" s="3" t="str">
        <f t="shared" ref="D378:D386" si="72">"项"</f>
        <v>项</v>
      </c>
      <c r="E378" s="3" t="str">
        <f t="shared" si="66"/>
        <v>检验费</v>
      </c>
    </row>
    <row r="379" customHeight="1" spans="1:5">
      <c r="A379" s="5" t="str">
        <f>"新型冠状病毒核酸检测"</f>
        <v>新型冠状病毒核酸检测</v>
      </c>
      <c r="B379" s="3">
        <v>250403092</v>
      </c>
      <c r="C379" s="4">
        <v>120</v>
      </c>
      <c r="D379" s="3" t="str">
        <f t="shared" si="72"/>
        <v>项</v>
      </c>
      <c r="E379" s="3" t="str">
        <f t="shared" si="66"/>
        <v>检验费</v>
      </c>
    </row>
    <row r="380" customHeight="1" spans="1:5">
      <c r="A380" s="5" t="str">
        <f>"癌胚抗原测定(CEA)各种免疫学方法"</f>
        <v>癌胚抗原测定(CEA)各种免疫学方法</v>
      </c>
      <c r="B380" s="3">
        <v>250404001</v>
      </c>
      <c r="C380" s="4">
        <v>15</v>
      </c>
      <c r="D380" s="3" t="str">
        <f t="shared" si="72"/>
        <v>项</v>
      </c>
      <c r="E380" s="3" t="str">
        <f t="shared" si="66"/>
        <v>检验费</v>
      </c>
    </row>
    <row r="381" customHeight="1" spans="1:5">
      <c r="A381" s="5" t="str">
        <f>"(CEA)癌胚抗原测定"</f>
        <v>(CEA)癌胚抗原测定</v>
      </c>
      <c r="B381" s="3" t="str">
        <f>"250404001-a"</f>
        <v>250404001-a</v>
      </c>
      <c r="C381" s="4">
        <v>45</v>
      </c>
      <c r="D381" s="3" t="str">
        <f t="shared" si="72"/>
        <v>项</v>
      </c>
      <c r="E381" s="3" t="str">
        <f t="shared" si="66"/>
        <v>检验费</v>
      </c>
    </row>
    <row r="382" customHeight="1" spans="1:5">
      <c r="A382" s="5" t="str">
        <f>"甲胎蛋白测定(AFP)各种免疫学方法"</f>
        <v>甲胎蛋白测定(AFP)各种免疫学方法</v>
      </c>
      <c r="B382" s="3">
        <v>250404002</v>
      </c>
      <c r="C382" s="4">
        <v>15</v>
      </c>
      <c r="D382" s="3" t="str">
        <f t="shared" si="72"/>
        <v>项</v>
      </c>
      <c r="E382" s="3" t="str">
        <f t="shared" si="66"/>
        <v>检验费</v>
      </c>
    </row>
    <row r="383" customHeight="1" spans="1:5">
      <c r="A383" s="5" t="str">
        <f>"(AFP)甲胎蛋白测定"</f>
        <v>(AFP)甲胎蛋白测定</v>
      </c>
      <c r="B383" s="3" t="str">
        <f>"250404002-a"</f>
        <v>250404002-a</v>
      </c>
      <c r="C383" s="4">
        <v>40</v>
      </c>
      <c r="D383" s="3" t="str">
        <f t="shared" si="72"/>
        <v>项</v>
      </c>
      <c r="E383" s="3" t="str">
        <f t="shared" si="66"/>
        <v>检验费</v>
      </c>
    </row>
    <row r="384" customHeight="1" spans="1:5">
      <c r="A384" s="5" t="str">
        <f>"总前列腺特异性抗原测定(TPSA)各种免疫学方法"</f>
        <v>总前列腺特异性抗原测定(TPSA)各种免疫学方法</v>
      </c>
      <c r="B384" s="3" t="str">
        <f>"250404005-a"</f>
        <v>250404005-a</v>
      </c>
      <c r="C384" s="4">
        <v>65</v>
      </c>
      <c r="D384" s="3" t="str">
        <f t="shared" si="72"/>
        <v>项</v>
      </c>
      <c r="E384" s="3" t="str">
        <f t="shared" si="66"/>
        <v>检验费</v>
      </c>
    </row>
    <row r="385" customHeight="1" spans="1:5">
      <c r="A385" s="5" t="str">
        <f>"游离前列腺特异性抗原测定(FPSA)"</f>
        <v>游离前列腺特异性抗原测定(FPSA)</v>
      </c>
      <c r="B385" s="3" t="str">
        <f>"250404006-a"</f>
        <v>250404006-a</v>
      </c>
      <c r="C385" s="4">
        <v>65</v>
      </c>
      <c r="D385" s="3" t="str">
        <f t="shared" si="72"/>
        <v>项</v>
      </c>
      <c r="E385" s="3" t="str">
        <f t="shared" si="66"/>
        <v>检验费</v>
      </c>
    </row>
    <row r="386" customHeight="1" spans="1:5">
      <c r="A386" s="5" t="str">
        <f>"神经元特异性烯醇化酶测定(NSE)"</f>
        <v>神经元特异性烯醇化酶测定(NSE)</v>
      </c>
      <c r="B386" s="3" t="str">
        <f>"250404009-a"</f>
        <v>250404009-a</v>
      </c>
      <c r="C386" s="4">
        <v>65</v>
      </c>
      <c r="D386" s="3" t="str">
        <f t="shared" si="72"/>
        <v>项</v>
      </c>
      <c r="E386" s="3" t="str">
        <f t="shared" si="66"/>
        <v>检验费</v>
      </c>
    </row>
    <row r="387" customHeight="1" spans="1:5">
      <c r="A387" s="5" t="str">
        <f>"细胞角蛋白19片段测定(CYFRA21-2)（化学发光法、荧光免疫法）"</f>
        <v>细胞角蛋白19片段测定(CYFRA21-2)（化学发光法、荧光免疫法）</v>
      </c>
      <c r="B387" s="3" t="str">
        <f>"250404010-a"</f>
        <v>250404010-a</v>
      </c>
      <c r="C387" s="4">
        <v>65</v>
      </c>
      <c r="D387" s="3" t="str">
        <f>"-"</f>
        <v>-</v>
      </c>
      <c r="E387" s="3" t="str">
        <f t="shared" si="66"/>
        <v>检验费</v>
      </c>
    </row>
    <row r="388" customHeight="1" spans="1:5">
      <c r="A388" s="5" t="str">
        <f>"糖类抗原测定CA125(化学发光法、荧光免疫法)"</f>
        <v>糖类抗原测定CA125(化学发光法、荧光免疫法)</v>
      </c>
      <c r="B388" s="3" t="str">
        <f>"250404011-a"</f>
        <v>250404011-a</v>
      </c>
      <c r="C388" s="4">
        <v>65</v>
      </c>
      <c r="D388" s="3" t="str">
        <f t="shared" ref="D388:D391" si="73">"项"</f>
        <v>项</v>
      </c>
      <c r="E388" s="3" t="str">
        <f t="shared" si="66"/>
        <v>检验费</v>
      </c>
    </row>
    <row r="389" customHeight="1" spans="1:5">
      <c r="A389" s="5" t="str">
        <f>"糖类抗原测定CA19-9(化学发光法、荧光免疫法)"</f>
        <v>糖类抗原测定CA19-9(化学发光法、荧光免疫法)</v>
      </c>
      <c r="B389" s="3" t="str">
        <f>"250404011-a-1"</f>
        <v>250404011-a-1</v>
      </c>
      <c r="C389" s="4">
        <v>65</v>
      </c>
      <c r="D389" s="3" t="str">
        <f t="shared" si="73"/>
        <v>项</v>
      </c>
      <c r="E389" s="3" t="str">
        <f t="shared" si="66"/>
        <v>检验费</v>
      </c>
    </row>
    <row r="390" customHeight="1" spans="1:5">
      <c r="A390" s="5" t="str">
        <f>"糖类抗原测定CA15-3(化学发光法、荧光免疫法)"</f>
        <v>糖类抗原测定CA15-3(化学发光法、荧光免疫法)</v>
      </c>
      <c r="B390" s="3" t="str">
        <f>"250404011-a-2"</f>
        <v>250404011-a-2</v>
      </c>
      <c r="C390" s="4">
        <v>65</v>
      </c>
      <c r="D390" s="3" t="str">
        <f t="shared" si="73"/>
        <v>项</v>
      </c>
      <c r="E390" s="3" t="str">
        <f t="shared" si="66"/>
        <v>检验费</v>
      </c>
    </row>
    <row r="391" customHeight="1" spans="1:5">
      <c r="A391" s="5" t="str">
        <f>"糖类抗原测定CA72-4(化学发光法、荧光免疫法)"</f>
        <v>糖类抗原测定CA72-4(化学发光法、荧光免疫法)</v>
      </c>
      <c r="B391" s="3" t="str">
        <f>"250404011-a-3"</f>
        <v>250404011-a-3</v>
      </c>
      <c r="C391" s="4">
        <v>65</v>
      </c>
      <c r="D391" s="3" t="str">
        <f t="shared" si="73"/>
        <v>项</v>
      </c>
      <c r="E391" s="3" t="str">
        <f t="shared" si="66"/>
        <v>检验费</v>
      </c>
    </row>
    <row r="392" customHeight="1" spans="1:5">
      <c r="A392" s="5" t="str">
        <f>"糖类抗原测定CA24-2(化学发光法、荧光免疫法)"</f>
        <v>糖类抗原测定CA24-2(化学发光法、荧光免疫法)</v>
      </c>
      <c r="B392" s="3" t="str">
        <f>"250404011-a-4"</f>
        <v>250404011-a-4</v>
      </c>
      <c r="C392" s="4">
        <v>65</v>
      </c>
      <c r="D392" s="3" t="str">
        <f t="shared" ref="D392:D395" si="74">"/"</f>
        <v>/</v>
      </c>
      <c r="E392" s="3" t="str">
        <f t="shared" si="66"/>
        <v>检验费</v>
      </c>
    </row>
    <row r="393" customHeight="1" spans="1:5">
      <c r="A393" s="5" t="str">
        <f>"糖类抗原测定CA130(化学发光法、荧光免疫法)"</f>
        <v>糖类抗原测定CA130(化学发光法、荧光免疫法)</v>
      </c>
      <c r="B393" s="3" t="str">
        <f>"250404011-a-5"</f>
        <v>250404011-a-5</v>
      </c>
      <c r="C393" s="4">
        <v>65</v>
      </c>
      <c r="D393" s="3" t="str">
        <f t="shared" si="74"/>
        <v>/</v>
      </c>
      <c r="E393" s="3" t="str">
        <f t="shared" si="66"/>
        <v>检验费</v>
      </c>
    </row>
    <row r="394" customHeight="1" spans="1:5">
      <c r="A394" s="5" t="str">
        <f>"糖类抗原测定CA-50(化学发光法、荧光免疫法)"</f>
        <v>糖类抗原测定CA-50(化学发光法、荧光免疫法)</v>
      </c>
      <c r="B394" s="3" t="str">
        <f>"250404011-a-6"</f>
        <v>250404011-a-6</v>
      </c>
      <c r="C394" s="4">
        <v>65</v>
      </c>
      <c r="D394" s="3" t="str">
        <f t="shared" si="74"/>
        <v>/</v>
      </c>
      <c r="E394" s="3" t="str">
        <f t="shared" si="66"/>
        <v>检验费</v>
      </c>
    </row>
    <row r="395" customHeight="1" spans="1:5">
      <c r="A395" s="5" t="str">
        <f>"糖类抗原测定CA-29(化学发光法、荧光免疫法)"</f>
        <v>糖类抗原测定CA-29(化学发光法、荧光免疫法)</v>
      </c>
      <c r="B395" s="3" t="str">
        <f>"250404011-a-7"</f>
        <v>250404011-a-7</v>
      </c>
      <c r="C395" s="4">
        <v>65</v>
      </c>
      <c r="D395" s="3" t="str">
        <f t="shared" si="74"/>
        <v>/</v>
      </c>
      <c r="E395" s="3" t="str">
        <f t="shared" si="66"/>
        <v>检验费</v>
      </c>
    </row>
    <row r="396" customHeight="1" spans="1:5">
      <c r="A396" s="5" t="str">
        <f>"鳞状细胞癌相关抗原测定"</f>
        <v>鳞状细胞癌相关抗原测定</v>
      </c>
      <c r="B396" s="3" t="str">
        <f>"250404012-a"</f>
        <v>250404012-a</v>
      </c>
      <c r="C396" s="4">
        <v>65</v>
      </c>
      <c r="D396" s="3">
        <v>1</v>
      </c>
      <c r="E396" s="3" t="str">
        <f t="shared" ref="E396:E424" si="75">"检验费"</f>
        <v>检验费</v>
      </c>
    </row>
    <row r="397" customHeight="1" spans="1:5">
      <c r="A397" s="5" t="str">
        <f>"铁蛋白测定各种发光法，定量测定"</f>
        <v>铁蛋白测定各种发光法，定量测定</v>
      </c>
      <c r="B397" s="3" t="str">
        <f>"250404015-a"</f>
        <v>250404015-a</v>
      </c>
      <c r="C397" s="4">
        <v>55</v>
      </c>
      <c r="D397" s="3" t="str">
        <f t="shared" ref="D397:D399" si="76">"项"</f>
        <v>项</v>
      </c>
      <c r="E397" s="3" t="str">
        <f t="shared" si="75"/>
        <v>检验费</v>
      </c>
    </row>
    <row r="398" customHeight="1" spans="1:5">
      <c r="A398" s="5" t="str">
        <f>"恶性肿瘤特异生长因子（TSGF）测定"</f>
        <v>恶性肿瘤特异生长因子（TSGF）测定</v>
      </c>
      <c r="B398" s="3">
        <v>250404017</v>
      </c>
      <c r="C398" s="4">
        <v>65</v>
      </c>
      <c r="D398" s="3" t="str">
        <f t="shared" si="76"/>
        <v>项</v>
      </c>
      <c r="E398" s="3" t="str">
        <f t="shared" si="75"/>
        <v>检验费</v>
      </c>
    </row>
    <row r="399" customHeight="1" spans="1:5">
      <c r="A399" s="5" t="str">
        <f>"一般细菌涂片检查"</f>
        <v>一般细菌涂片检查</v>
      </c>
      <c r="B399" s="3">
        <v>250501001</v>
      </c>
      <c r="C399" s="4">
        <v>10</v>
      </c>
      <c r="D399" s="3" t="str">
        <f t="shared" si="76"/>
        <v>项</v>
      </c>
      <c r="E399" s="3" t="str">
        <f t="shared" si="75"/>
        <v>检验费</v>
      </c>
    </row>
    <row r="400" customHeight="1" spans="1:5">
      <c r="A400" s="5" t="str">
        <f>"特殊细菌涂片检查"</f>
        <v>特殊细菌涂片检查</v>
      </c>
      <c r="B400" s="3">
        <v>250501004</v>
      </c>
      <c r="C400" s="4">
        <v>5</v>
      </c>
      <c r="D400" s="3" t="str">
        <f>"次"</f>
        <v>次</v>
      </c>
      <c r="E400" s="3" t="str">
        <f t="shared" si="75"/>
        <v>检验费</v>
      </c>
    </row>
    <row r="401" customHeight="1" spans="1:5">
      <c r="A401" s="5" t="str">
        <f>"血培养及鉴定"</f>
        <v>血培养及鉴定</v>
      </c>
      <c r="B401" s="3">
        <v>250501011</v>
      </c>
      <c r="C401" s="4">
        <v>100</v>
      </c>
      <c r="D401" s="3" t="str">
        <f t="shared" ref="D401:D409" si="77">"项"</f>
        <v>项</v>
      </c>
      <c r="E401" s="3" t="str">
        <f t="shared" si="75"/>
        <v>检验费</v>
      </c>
    </row>
    <row r="402" customHeight="1" spans="1:5">
      <c r="A402" s="5" t="str">
        <f>"嗜血杆菌培养"</f>
        <v>嗜血杆菌培养</v>
      </c>
      <c r="B402" s="3">
        <v>250501017</v>
      </c>
      <c r="C402" s="4">
        <v>20</v>
      </c>
      <c r="D402" s="3" t="str">
        <f t="shared" si="77"/>
        <v>项</v>
      </c>
      <c r="E402" s="3" t="str">
        <f t="shared" si="75"/>
        <v>检验费</v>
      </c>
    </row>
    <row r="403" customHeight="1" spans="1:5">
      <c r="A403" s="5" t="str">
        <f>"霍乱弧菌培养"</f>
        <v>霍乱弧菌培养</v>
      </c>
      <c r="B403" s="3">
        <v>250501018</v>
      </c>
      <c r="C403" s="4">
        <v>20</v>
      </c>
      <c r="D403" s="3" t="str">
        <f t="shared" si="77"/>
        <v>项</v>
      </c>
      <c r="E403" s="3" t="str">
        <f t="shared" si="75"/>
        <v>检验费</v>
      </c>
    </row>
    <row r="404" customHeight="1" spans="1:5">
      <c r="A404" s="5" t="str">
        <f>"幽门螺杆菌培养及鉴定"</f>
        <v>幽门螺杆菌培养及鉴定</v>
      </c>
      <c r="B404" s="3">
        <v>250501022</v>
      </c>
      <c r="C404" s="4">
        <v>40</v>
      </c>
      <c r="D404" s="3" t="str">
        <f t="shared" si="77"/>
        <v>项</v>
      </c>
      <c r="E404" s="3" t="str">
        <f t="shared" si="75"/>
        <v>检验费</v>
      </c>
    </row>
    <row r="405" customHeight="1" spans="1:5">
      <c r="A405" s="5" t="str">
        <f>"真菌培养及鉴定"</f>
        <v>真菌培养及鉴定</v>
      </c>
      <c r="B405" s="3">
        <v>250501027</v>
      </c>
      <c r="C405" s="4">
        <v>25</v>
      </c>
      <c r="D405" s="3" t="str">
        <f t="shared" si="77"/>
        <v>项</v>
      </c>
      <c r="E405" s="3" t="str">
        <f t="shared" si="75"/>
        <v>检验费</v>
      </c>
    </row>
    <row r="406" customHeight="1" spans="1:5">
      <c r="A406" s="5" t="str">
        <f>"支原体检查"</f>
        <v>支原体检查</v>
      </c>
      <c r="B406" s="3">
        <v>250501033</v>
      </c>
      <c r="C406" s="4">
        <v>70</v>
      </c>
      <c r="D406" s="3" t="str">
        <f t="shared" si="77"/>
        <v>项</v>
      </c>
      <c r="E406" s="3" t="str">
        <f t="shared" si="75"/>
        <v>检验费</v>
      </c>
    </row>
    <row r="407" customHeight="1" spans="1:5">
      <c r="A407" s="5" t="str">
        <f>"轮状病毒检测免疫学法"</f>
        <v>轮状病毒检测免疫学法</v>
      </c>
      <c r="B407" s="3">
        <v>250501035</v>
      </c>
      <c r="C407" s="4">
        <v>15</v>
      </c>
      <c r="D407" s="3" t="str">
        <f t="shared" si="77"/>
        <v>项</v>
      </c>
      <c r="E407" s="3" t="str">
        <f t="shared" si="75"/>
        <v>检验费</v>
      </c>
    </row>
    <row r="408" customHeight="1" spans="1:5">
      <c r="A408" s="5" t="str">
        <f>"轮状病毒检测（酶联免疫法、金标法）"</f>
        <v>轮状病毒检测（酶联免疫法、金标法）</v>
      </c>
      <c r="B408" s="3" t="str">
        <f>"250501035-a"</f>
        <v>250501035-a</v>
      </c>
      <c r="C408" s="4">
        <v>45</v>
      </c>
      <c r="D408" s="3" t="str">
        <f t="shared" si="77"/>
        <v>项</v>
      </c>
      <c r="E408" s="3" t="str">
        <f t="shared" si="75"/>
        <v>检验费</v>
      </c>
    </row>
    <row r="409" customHeight="1" spans="1:5">
      <c r="A409" s="5" t="str">
        <f>"轮状病毒检测凝集法"</f>
        <v>轮状病毒检测凝集法</v>
      </c>
      <c r="B409" s="3" t="str">
        <f>"250501035-b"</f>
        <v>250501035-b</v>
      </c>
      <c r="C409" s="4">
        <v>7</v>
      </c>
      <c r="D409" s="3" t="str">
        <f t="shared" si="77"/>
        <v>项</v>
      </c>
      <c r="E409" s="3" t="str">
        <f t="shared" si="75"/>
        <v>检验费</v>
      </c>
    </row>
    <row r="410" customHeight="1" spans="1:5">
      <c r="A410" s="5" t="str">
        <f>"常规药敏定性试验手工法"</f>
        <v>常规药敏定性试验手工法</v>
      </c>
      <c r="B410" s="3">
        <v>250502001</v>
      </c>
      <c r="C410" s="4">
        <v>20</v>
      </c>
      <c r="D410" s="3" t="str">
        <f>"次"</f>
        <v>次</v>
      </c>
      <c r="E410" s="3" t="str">
        <f t="shared" si="75"/>
        <v>检验费</v>
      </c>
    </row>
    <row r="411" customHeight="1" spans="1:5">
      <c r="A411" s="5" t="str">
        <f>"细菌毒素测定"</f>
        <v>细菌毒素测定</v>
      </c>
      <c r="B411" s="3">
        <v>250503002</v>
      </c>
      <c r="C411" s="4">
        <v>35</v>
      </c>
      <c r="D411" s="3" t="str">
        <f t="shared" ref="D411:D416" si="78">"项"</f>
        <v>项</v>
      </c>
      <c r="E411" s="3" t="str">
        <f t="shared" si="75"/>
        <v>检验费</v>
      </c>
    </row>
    <row r="412" customHeight="1" spans="1:5">
      <c r="A412" s="5" t="str">
        <f>"病原体乳胶凝集试验快速检测"</f>
        <v>病原体乳胶凝集试验快速检测</v>
      </c>
      <c r="B412" s="3">
        <v>250503003</v>
      </c>
      <c r="C412" s="4">
        <v>60</v>
      </c>
      <c r="D412" s="3" t="str">
        <f t="shared" si="78"/>
        <v>项</v>
      </c>
      <c r="E412" s="3" t="str">
        <f t="shared" si="75"/>
        <v>检验费</v>
      </c>
    </row>
    <row r="413" customHeight="1" spans="1:5">
      <c r="A413" s="5" t="str">
        <f>"粪寄生虫镜检"</f>
        <v>粪寄生虫镜检</v>
      </c>
      <c r="B413" s="3">
        <v>250601001</v>
      </c>
      <c r="C413" s="4">
        <v>2</v>
      </c>
      <c r="D413" s="3" t="str">
        <f>"-"</f>
        <v>-</v>
      </c>
      <c r="E413" s="3" t="str">
        <f t="shared" si="75"/>
        <v>检验费</v>
      </c>
    </row>
    <row r="414" customHeight="1" spans="1:5">
      <c r="A414" s="5" t="str">
        <f>"血液虐原虫检查"</f>
        <v>血液虐原虫检查</v>
      </c>
      <c r="B414" s="3">
        <v>250601005</v>
      </c>
      <c r="C414" s="4" t="str">
        <f>"0.5"</f>
        <v>0.5</v>
      </c>
      <c r="D414" s="3" t="str">
        <f t="shared" si="78"/>
        <v>项</v>
      </c>
      <c r="E414" s="3" t="str">
        <f t="shared" si="75"/>
        <v>检验费</v>
      </c>
    </row>
    <row r="415" customHeight="1" spans="1:5">
      <c r="A415" s="5" t="str">
        <f>"血液微丝蚴检查"</f>
        <v>血液微丝蚴检查</v>
      </c>
      <c r="B415" s="3">
        <v>250601006</v>
      </c>
      <c r="C415" s="4">
        <v>1</v>
      </c>
      <c r="D415" s="3" t="str">
        <f t="shared" si="78"/>
        <v>项</v>
      </c>
      <c r="E415" s="3" t="str">
        <f t="shared" si="75"/>
        <v>检验费</v>
      </c>
    </row>
    <row r="416" customHeight="1" spans="1:5">
      <c r="A416" s="5" t="str">
        <f>"唐氏综合症筛查"</f>
        <v>唐氏综合症筛查</v>
      </c>
      <c r="B416" s="3">
        <v>250700010</v>
      </c>
      <c r="C416" s="4">
        <v>15</v>
      </c>
      <c r="D416" s="3" t="str">
        <f t="shared" si="78"/>
        <v>项</v>
      </c>
      <c r="E416" s="3" t="str">
        <f t="shared" si="75"/>
        <v>检验费</v>
      </c>
    </row>
    <row r="417" customHeight="1" spans="1:5">
      <c r="A417" s="5" t="str">
        <f>"唐氏综合症筛查及唐氏综合症风险率计算"</f>
        <v>唐氏综合症筛查及唐氏综合症风险率计算</v>
      </c>
      <c r="B417" s="3" t="str">
        <f>"250700010-a"</f>
        <v>250700010-a</v>
      </c>
      <c r="C417" s="4">
        <v>110</v>
      </c>
      <c r="D417" s="3" t="str">
        <f t="shared" ref="D417:D421" si="79">"次"</f>
        <v>次</v>
      </c>
      <c r="E417" s="3" t="str">
        <f t="shared" si="75"/>
        <v>检验费</v>
      </c>
    </row>
    <row r="418" customHeight="1" spans="1:5">
      <c r="A418" s="5" t="str">
        <f>"苯丙氨酸测定（PKU）"</f>
        <v>苯丙氨酸测定（PKU）</v>
      </c>
      <c r="B418" s="3">
        <v>250700015</v>
      </c>
      <c r="C418" s="4">
        <v>30</v>
      </c>
      <c r="D418" s="3" t="str">
        <f>"项"</f>
        <v>项</v>
      </c>
      <c r="E418" s="3" t="str">
        <f t="shared" si="75"/>
        <v>检验费</v>
      </c>
    </row>
    <row r="419" customHeight="1" spans="1:5">
      <c r="A419" s="5" t="str">
        <f>"ABO红细胞血清定型(反定)"</f>
        <v>ABO红细胞血清定型(反定)</v>
      </c>
      <c r="B419" s="3">
        <v>260000001</v>
      </c>
      <c r="C419" s="4">
        <v>3</v>
      </c>
      <c r="D419" s="3" t="str">
        <f t="shared" si="79"/>
        <v>次</v>
      </c>
      <c r="E419" s="3" t="str">
        <f t="shared" si="75"/>
        <v>检验费</v>
      </c>
    </row>
    <row r="420" customHeight="1" spans="1:5">
      <c r="A420" s="5" t="str">
        <f>"Rh血型鉴定"</f>
        <v>Rh血型鉴定</v>
      </c>
      <c r="B420" s="3">
        <v>260000004</v>
      </c>
      <c r="C420" s="4">
        <v>10</v>
      </c>
      <c r="D420" s="3" t="str">
        <f t="shared" si="79"/>
        <v>次</v>
      </c>
      <c r="E420" s="3" t="str">
        <f t="shared" si="75"/>
        <v>检验费</v>
      </c>
    </row>
    <row r="421" customHeight="1" spans="1:5">
      <c r="A421" s="5" t="str">
        <f>"血型抗体效价测定"</f>
        <v>血型抗体效价测定</v>
      </c>
      <c r="B421" s="3">
        <v>260000010</v>
      </c>
      <c r="C421" s="4">
        <v>50</v>
      </c>
      <c r="D421" s="3" t="str">
        <f t="shared" si="79"/>
        <v>次</v>
      </c>
      <c r="E421" s="3" t="str">
        <f t="shared" si="75"/>
        <v>检验费</v>
      </c>
    </row>
    <row r="422" customHeight="1" spans="1:5">
      <c r="A422" s="5" t="str">
        <f>"盐水介质交差配血"</f>
        <v>盐水介质交差配血</v>
      </c>
      <c r="B422" s="3">
        <v>260000011</v>
      </c>
      <c r="C422" s="4">
        <v>1</v>
      </c>
      <c r="D422" s="3">
        <v>1</v>
      </c>
      <c r="E422" s="3" t="str">
        <f t="shared" si="75"/>
        <v>检验费</v>
      </c>
    </row>
    <row r="423" customHeight="1" spans="1:5">
      <c r="A423" s="5" t="str">
        <f>"疑难交叉配血"</f>
        <v>疑难交叉配血</v>
      </c>
      <c r="B423" s="3">
        <v>260000013</v>
      </c>
      <c r="C423" s="4">
        <v>30</v>
      </c>
      <c r="D423" s="3" t="str">
        <f>"次"</f>
        <v>次</v>
      </c>
      <c r="E423" s="3" t="str">
        <f t="shared" si="75"/>
        <v>检验费</v>
      </c>
    </row>
    <row r="424" customHeight="1" spans="1:5">
      <c r="A424" s="5" t="str">
        <f>"淋巴细胞毒试验"</f>
        <v>淋巴细胞毒试验</v>
      </c>
      <c r="B424" s="3">
        <v>260000020</v>
      </c>
      <c r="C424" s="4">
        <v>30</v>
      </c>
      <c r="D424" s="3" t="str">
        <f>"次"</f>
        <v>次</v>
      </c>
      <c r="E424" s="3" t="str">
        <f t="shared" si="75"/>
        <v>检验费</v>
      </c>
    </row>
    <row r="425" customHeight="1" spans="1:5">
      <c r="A425" s="5" t="str">
        <f>"脱落细胞学检查与诊断"</f>
        <v>脱落细胞学检查与诊断</v>
      </c>
      <c r="B425" s="3">
        <v>270200004</v>
      </c>
      <c r="C425" s="4">
        <v>39</v>
      </c>
      <c r="D425" s="3" t="str">
        <f>"例"</f>
        <v>例</v>
      </c>
      <c r="E425" s="3" t="str">
        <f t="shared" ref="E425:E438" si="80">"病理检查"</f>
        <v>病理检查</v>
      </c>
    </row>
    <row r="426" customHeight="1" spans="1:5">
      <c r="A426" s="5" t="str">
        <f>"脱落细胞学检查与诊断(宫颈)"</f>
        <v>脱落细胞学检查与诊断(宫颈)</v>
      </c>
      <c r="B426" s="3" t="str">
        <f>"270200004-1"</f>
        <v>270200004-1</v>
      </c>
      <c r="C426" s="4">
        <v>39</v>
      </c>
      <c r="D426" s="3">
        <v>1</v>
      </c>
      <c r="E426" s="3" t="str">
        <f t="shared" si="80"/>
        <v>病理检查</v>
      </c>
    </row>
    <row r="427" customHeight="1" spans="1:5">
      <c r="A427" s="5" t="str">
        <f>"脱落细胞学检查与诊断(口腔粘液涂片)"</f>
        <v>脱落细胞学检查与诊断(口腔粘液涂片)</v>
      </c>
      <c r="B427" s="3" t="str">
        <f>"270200004-2"</f>
        <v>270200004-2</v>
      </c>
      <c r="C427" s="4">
        <v>39</v>
      </c>
      <c r="D427" s="3">
        <v>1</v>
      </c>
      <c r="E427" s="3" t="str">
        <f t="shared" si="80"/>
        <v>病理检查</v>
      </c>
    </row>
    <row r="428" customHeight="1" spans="1:5">
      <c r="A428" s="5" t="str">
        <f>"脱落细胞学检查与诊断(窥镜刷片)"</f>
        <v>脱落细胞学检查与诊断(窥镜刷片)</v>
      </c>
      <c r="B428" s="3" t="str">
        <f>"270200004-3"</f>
        <v>270200004-3</v>
      </c>
      <c r="C428" s="4">
        <v>39</v>
      </c>
      <c r="D428" s="3">
        <v>1</v>
      </c>
      <c r="E428" s="3" t="str">
        <f t="shared" si="80"/>
        <v>病理检查</v>
      </c>
    </row>
    <row r="429" customHeight="1" spans="1:5">
      <c r="A429" s="5" t="str">
        <f>"脱落细胞学检查与诊断(乳腺溢液)"</f>
        <v>脱落细胞学检查与诊断(乳腺溢液)</v>
      </c>
      <c r="B429" s="3" t="str">
        <f>"270200004-4"</f>
        <v>270200004-4</v>
      </c>
      <c r="C429" s="4">
        <v>39</v>
      </c>
      <c r="D429" s="3">
        <v>1</v>
      </c>
      <c r="E429" s="3" t="str">
        <f t="shared" si="80"/>
        <v>病理检查</v>
      </c>
    </row>
    <row r="430" customHeight="1" spans="1:5">
      <c r="A430" s="5" t="str">
        <f>"脱落细胞学检查与诊断(痰)"</f>
        <v>脱落细胞学检查与诊断(痰)</v>
      </c>
      <c r="B430" s="3" t="str">
        <f>"270200004-5"</f>
        <v>270200004-5</v>
      </c>
      <c r="C430" s="4">
        <v>39</v>
      </c>
      <c r="D430" s="3">
        <v>1</v>
      </c>
      <c r="E430" s="3" t="str">
        <f t="shared" si="80"/>
        <v>病理检查</v>
      </c>
    </row>
    <row r="431" customHeight="1" spans="1:5">
      <c r="A431" s="5" t="str">
        <f>"脱落细胞学检查与诊断(阴道)"</f>
        <v>脱落细胞学检查与诊断(阴道)</v>
      </c>
      <c r="B431" s="3" t="str">
        <f>"270200004-6"</f>
        <v>270200004-6</v>
      </c>
      <c r="C431" s="4">
        <v>39</v>
      </c>
      <c r="D431" s="3">
        <v>1</v>
      </c>
      <c r="E431" s="3" t="str">
        <f t="shared" si="80"/>
        <v>病理检查</v>
      </c>
    </row>
    <row r="432" customHeight="1" spans="1:5">
      <c r="A432" s="5" t="str">
        <f>"脱落细胞学检查与诊断(子宫内膜)"</f>
        <v>脱落细胞学检查与诊断(子宫内膜)</v>
      </c>
      <c r="B432" s="3" t="str">
        <f>"270200004-7"</f>
        <v>270200004-7</v>
      </c>
      <c r="C432" s="4">
        <v>39</v>
      </c>
      <c r="D432" s="3">
        <v>1</v>
      </c>
      <c r="E432" s="3" t="str">
        <f t="shared" si="80"/>
        <v>病理检查</v>
      </c>
    </row>
    <row r="433" customHeight="1" spans="1:5">
      <c r="A433" s="5" t="str">
        <f>"内镜组织活检检查与诊断"</f>
        <v>内镜组织活检检查与诊断</v>
      </c>
      <c r="B433" s="3">
        <v>270300002</v>
      </c>
      <c r="C433" s="4">
        <v>78</v>
      </c>
      <c r="D433" s="3" t="str">
        <f>"例"</f>
        <v>例</v>
      </c>
      <c r="E433" s="3" t="str">
        <f t="shared" si="80"/>
        <v>病理检查</v>
      </c>
    </row>
    <row r="434" customHeight="1" spans="1:5">
      <c r="A434" s="5" t="str">
        <f>"内镜组织活检检查与诊断每增加一张切片加收"</f>
        <v>内镜组织活检检查与诊断每增加一张切片加收</v>
      </c>
      <c r="B434" s="3" t="str">
        <f>"270300002-b"</f>
        <v>270300002-b</v>
      </c>
      <c r="C434" s="4">
        <v>30</v>
      </c>
      <c r="D434" s="3" t="str">
        <f>"张"</f>
        <v>张</v>
      </c>
      <c r="E434" s="3" t="str">
        <f t="shared" si="80"/>
        <v>病理检查</v>
      </c>
    </row>
    <row r="435" customHeight="1" spans="1:5">
      <c r="A435" s="5" t="str">
        <f>"局部切除组织活检检查与诊断"</f>
        <v>局部切除组织活检检查与诊断</v>
      </c>
      <c r="B435" s="3">
        <v>270300003</v>
      </c>
      <c r="C435" s="4">
        <v>78</v>
      </c>
      <c r="D435" s="3" t="str">
        <f>"每个部位"</f>
        <v>每个部位</v>
      </c>
      <c r="E435" s="3" t="str">
        <f t="shared" si="80"/>
        <v>病理检查</v>
      </c>
    </row>
    <row r="436" customHeight="1" spans="1:5">
      <c r="A436" s="5" t="str">
        <f>"手术标本检查与诊断"</f>
        <v>手术标本检查与诊断</v>
      </c>
      <c r="B436" s="3">
        <v>270300005</v>
      </c>
      <c r="C436" s="4">
        <v>104</v>
      </c>
      <c r="D436" s="3" t="str">
        <f>"例"</f>
        <v>例</v>
      </c>
      <c r="E436" s="3" t="str">
        <f t="shared" si="80"/>
        <v>病理检查</v>
      </c>
    </row>
    <row r="437" customHeight="1" spans="1:5">
      <c r="A437" s="5" t="str">
        <f>"手术标本检查与诊断超过基价每个加收"</f>
        <v>手术标本检查与诊断超过基价每个加收</v>
      </c>
      <c r="B437" s="3" t="str">
        <f>"270300005-a"</f>
        <v>270300005-a</v>
      </c>
      <c r="C437" s="4">
        <v>10</v>
      </c>
      <c r="D437" s="3" t="str">
        <f>"个"</f>
        <v>个</v>
      </c>
      <c r="E437" s="3" t="str">
        <f t="shared" si="80"/>
        <v>病理检查</v>
      </c>
    </row>
    <row r="438" customHeight="1" spans="1:5">
      <c r="A438" s="5" t="str">
        <f>"特殊染色及酶组织化学染色诊断"</f>
        <v>特殊染色及酶组织化学染色诊断</v>
      </c>
      <c r="B438" s="3">
        <v>270500001</v>
      </c>
      <c r="C438" s="4">
        <v>50</v>
      </c>
      <c r="D438" s="3" t="str">
        <f t="shared" ref="D438:D441" si="81">"次"</f>
        <v>次</v>
      </c>
      <c r="E438" s="3" t="str">
        <f t="shared" si="80"/>
        <v>病理检查</v>
      </c>
    </row>
    <row r="439" customHeight="1" spans="1:5">
      <c r="A439" s="5" t="str">
        <f>"脱氧核糖核酸(DNA)测序"</f>
        <v>脱氧核糖核酸(DNA)测序</v>
      </c>
      <c r="B439" s="3" t="str">
        <f>"270700003-1"</f>
        <v>270700003-1</v>
      </c>
      <c r="C439" s="4">
        <v>400</v>
      </c>
      <c r="D439" s="3" t="str">
        <f>"项"</f>
        <v>项</v>
      </c>
      <c r="E439" s="3" t="str">
        <f>"检验费"</f>
        <v>检验费</v>
      </c>
    </row>
    <row r="440" customHeight="1" spans="1:5">
      <c r="A440" s="5" t="str">
        <f>"显微摄影术"</f>
        <v>显微摄影术</v>
      </c>
      <c r="B440" s="3">
        <v>270800003</v>
      </c>
      <c r="C440" s="4">
        <v>20</v>
      </c>
      <c r="D440" s="3" t="str">
        <f t="shared" si="81"/>
        <v>次</v>
      </c>
      <c r="E440" s="3" t="str">
        <f>"治疗费"</f>
        <v>治疗费</v>
      </c>
    </row>
    <row r="441" customHeight="1" spans="1:5">
      <c r="A441" s="5" t="str">
        <f>"病理图文报告"</f>
        <v>病理图文报告</v>
      </c>
      <c r="B441" s="3">
        <v>270800004</v>
      </c>
      <c r="C441" s="4">
        <v>30</v>
      </c>
      <c r="D441" s="3" t="str">
        <f t="shared" si="81"/>
        <v>次</v>
      </c>
      <c r="E441" s="3" t="str">
        <f t="shared" ref="E441:E443" si="82">"病理检查"</f>
        <v>病理检查</v>
      </c>
    </row>
    <row r="442" customHeight="1" spans="1:5">
      <c r="A442" s="5" t="str">
        <f>"膜式病变细胞采集术"</f>
        <v>膜式病变细胞采集术</v>
      </c>
      <c r="B442" s="3">
        <v>270800007</v>
      </c>
      <c r="C442" s="4">
        <v>100</v>
      </c>
      <c r="D442" s="3">
        <v>1</v>
      </c>
      <c r="E442" s="3" t="str">
        <f t="shared" si="82"/>
        <v>病理检查</v>
      </c>
    </row>
    <row r="443" customHeight="1" spans="1:5">
      <c r="A443" s="5" t="str">
        <f>"液基薄层细胞制片术(TCT)"</f>
        <v>液基薄层细胞制片术(TCT)</v>
      </c>
      <c r="B443" s="3" t="str">
        <f>"270800007-a"</f>
        <v>270800007-a</v>
      </c>
      <c r="C443" s="4">
        <v>150</v>
      </c>
      <c r="D443" s="3" t="str">
        <f>"-"</f>
        <v>-</v>
      </c>
      <c r="E443" s="3" t="str">
        <f t="shared" si="82"/>
        <v>病理检查</v>
      </c>
    </row>
    <row r="444" customHeight="1" spans="1:5">
      <c r="A444" s="5" t="str">
        <f>"感觉阈值测量"</f>
        <v>感觉阈值测量</v>
      </c>
      <c r="B444" s="3">
        <v>310100015</v>
      </c>
      <c r="C444" s="4">
        <v>26</v>
      </c>
      <c r="D444" s="3" t="str">
        <f>"-"</f>
        <v>-</v>
      </c>
      <c r="E444" s="3" t="str">
        <f t="shared" ref="E444:E446" si="83">"检查费"</f>
        <v>检查费</v>
      </c>
    </row>
    <row r="445" customHeight="1" spans="1:5">
      <c r="A445" s="5" t="str">
        <f>"肌电图"</f>
        <v>肌电图</v>
      </c>
      <c r="B445" s="3">
        <v>310100023</v>
      </c>
      <c r="C445" s="4">
        <v>45</v>
      </c>
      <c r="D445" s="3">
        <v>1</v>
      </c>
      <c r="E445" s="3" t="str">
        <f t="shared" si="83"/>
        <v>检查费</v>
      </c>
    </row>
    <row r="446" customHeight="1" spans="1:5">
      <c r="A446" s="5" t="str">
        <f>"单纤维肌电图"</f>
        <v>单纤维肌电图</v>
      </c>
      <c r="B446" s="3">
        <v>310100024</v>
      </c>
      <c r="C446" s="4">
        <v>50</v>
      </c>
      <c r="D446" s="3">
        <v>1</v>
      </c>
      <c r="E446" s="3" t="str">
        <f t="shared" si="83"/>
        <v>检查费</v>
      </c>
    </row>
    <row r="447" customHeight="1" spans="1:5">
      <c r="A447" s="5" t="str">
        <f>"葡萄糖耐量试验"</f>
        <v>葡萄糖耐量试验</v>
      </c>
      <c r="B447" s="3">
        <v>310205001</v>
      </c>
      <c r="C447" s="4">
        <v>20</v>
      </c>
      <c r="D447" s="3" t="str">
        <f t="shared" ref="D447:D453" si="84">"次"</f>
        <v>次</v>
      </c>
      <c r="E447" s="3" t="str">
        <f t="shared" ref="E447:E452" si="85">"治疗费"</f>
        <v>治疗费</v>
      </c>
    </row>
    <row r="448" customHeight="1" spans="1:5">
      <c r="A448" s="5" t="str">
        <f>"葡萄糖耐量试验（静脉）"</f>
        <v>葡萄糖耐量试验（静脉）</v>
      </c>
      <c r="B448" s="3" t="str">
        <f>"310205001-1"</f>
        <v>310205001-1</v>
      </c>
      <c r="C448" s="4">
        <v>20</v>
      </c>
      <c r="D448" s="3">
        <v>1</v>
      </c>
      <c r="E448" s="3" t="str">
        <f>"检验费"</f>
        <v>检验费</v>
      </c>
    </row>
    <row r="449" customHeight="1" spans="1:5">
      <c r="A449" s="5" t="str">
        <f>"葡萄糖耐量试验（口服）"</f>
        <v>葡萄糖耐量试验（口服）</v>
      </c>
      <c r="B449" s="3" t="str">
        <f>"310205001-2"</f>
        <v>310205001-2</v>
      </c>
      <c r="C449" s="4">
        <v>20</v>
      </c>
      <c r="D449" s="3">
        <v>1</v>
      </c>
      <c r="E449" s="3" t="str">
        <f t="shared" si="85"/>
        <v>治疗费</v>
      </c>
    </row>
    <row r="450" customHeight="1" spans="1:5">
      <c r="A450" s="5" t="str">
        <f>"馒头餐糖耐量试验"</f>
        <v>馒头餐糖耐量试验</v>
      </c>
      <c r="B450" s="3">
        <v>310205002</v>
      </c>
      <c r="C450" s="4">
        <v>20</v>
      </c>
      <c r="D450" s="3" t="str">
        <f t="shared" si="84"/>
        <v>次</v>
      </c>
      <c r="E450" s="3" t="str">
        <f t="shared" si="85"/>
        <v>治疗费</v>
      </c>
    </row>
    <row r="451" customHeight="1" spans="1:5">
      <c r="A451" s="5" t="str">
        <f>"可的松糖耐量试验"</f>
        <v>可的松糖耐量试验</v>
      </c>
      <c r="B451" s="3">
        <v>310205003</v>
      </c>
      <c r="C451" s="4">
        <v>20</v>
      </c>
      <c r="D451" s="3" t="str">
        <f t="shared" si="84"/>
        <v>次</v>
      </c>
      <c r="E451" s="3" t="str">
        <f t="shared" si="85"/>
        <v>治疗费</v>
      </c>
    </row>
    <row r="452" customHeight="1" spans="1:5">
      <c r="A452" s="5" t="str">
        <f>"饥饿试验"</f>
        <v>饥饿试验</v>
      </c>
      <c r="B452" s="3">
        <v>310205007</v>
      </c>
      <c r="C452" s="4">
        <v>39</v>
      </c>
      <c r="D452" s="3" t="str">
        <f t="shared" si="84"/>
        <v>次</v>
      </c>
      <c r="E452" s="3" t="str">
        <f t="shared" si="85"/>
        <v>治疗费</v>
      </c>
    </row>
    <row r="453" customHeight="1" spans="1:5">
      <c r="A453" s="5" t="str">
        <f>"电脑血糖测定"</f>
        <v>电脑血糖测定</v>
      </c>
      <c r="B453" s="3">
        <v>310205008</v>
      </c>
      <c r="C453" s="4">
        <v>5.2</v>
      </c>
      <c r="D453" s="3" t="str">
        <f t="shared" si="84"/>
        <v>次</v>
      </c>
      <c r="E453" s="3" t="str">
        <f>"检验费"</f>
        <v>检验费</v>
      </c>
    </row>
    <row r="454" customHeight="1" spans="1:5">
      <c r="A454" s="5" t="str">
        <f>"血糖试纸"</f>
        <v>血糖试纸</v>
      </c>
      <c r="B454" s="3" t="str">
        <f>"310205008-2"</f>
        <v>310205008-2</v>
      </c>
      <c r="C454" s="4">
        <v>4.2</v>
      </c>
      <c r="D454" s="3">
        <v>1</v>
      </c>
      <c r="E454" s="3" t="str">
        <f>"材料费"</f>
        <v>材料费</v>
      </c>
    </row>
    <row r="455" customHeight="1" spans="1:5">
      <c r="A455" s="5" t="str">
        <f>"普通视力检查"</f>
        <v>普通视力检查</v>
      </c>
      <c r="B455" s="3">
        <v>310300001</v>
      </c>
      <c r="C455" s="4">
        <v>3.9</v>
      </c>
      <c r="D455" s="3" t="str">
        <f t="shared" ref="D455:D458" si="86">"次"</f>
        <v>次</v>
      </c>
      <c r="E455" s="3" t="str">
        <f t="shared" ref="E455:E457" si="87">"检查费"</f>
        <v>检查费</v>
      </c>
    </row>
    <row r="456" customHeight="1" spans="1:5">
      <c r="A456" s="5" t="str">
        <f>"特殊视力检查"</f>
        <v>特殊视力检查</v>
      </c>
      <c r="B456" s="3">
        <v>310300002</v>
      </c>
      <c r="C456" s="4">
        <v>3.9</v>
      </c>
      <c r="D456" s="3" t="str">
        <f>"项"</f>
        <v>项</v>
      </c>
      <c r="E456" s="3" t="str">
        <f t="shared" si="87"/>
        <v>检查费</v>
      </c>
    </row>
    <row r="457" customHeight="1" spans="1:5">
      <c r="A457" s="5" t="str">
        <f>"视网膜视力检查"</f>
        <v>视网膜视力检查</v>
      </c>
      <c r="B457" s="3">
        <v>310300004</v>
      </c>
      <c r="C457" s="4">
        <v>26</v>
      </c>
      <c r="D457" s="3" t="str">
        <f t="shared" si="86"/>
        <v>次</v>
      </c>
      <c r="E457" s="3" t="str">
        <f t="shared" si="87"/>
        <v>检查费</v>
      </c>
    </row>
    <row r="458" customHeight="1" spans="1:5">
      <c r="A458" s="5" t="str">
        <f>"视野检查"</f>
        <v>视野检查</v>
      </c>
      <c r="B458" s="3">
        <v>310300005</v>
      </c>
      <c r="C458" s="4">
        <v>26</v>
      </c>
      <c r="D458" s="3" t="str">
        <f t="shared" si="86"/>
        <v>次</v>
      </c>
      <c r="E458" s="3" t="str">
        <f>"治疗费"</f>
        <v>治疗费</v>
      </c>
    </row>
    <row r="459" customHeight="1" spans="1:5">
      <c r="A459" s="5" t="str">
        <f>"验光"</f>
        <v>验光</v>
      </c>
      <c r="B459" s="3">
        <v>310300007</v>
      </c>
      <c r="C459" s="4">
        <v>26</v>
      </c>
      <c r="D459" s="3" t="str">
        <f>"项"</f>
        <v>项</v>
      </c>
      <c r="E459" s="3" t="str">
        <f t="shared" ref="E459:E465" si="88">"检查费"</f>
        <v>检查费</v>
      </c>
    </row>
    <row r="460" customHeight="1" spans="1:5">
      <c r="A460" s="5" t="str">
        <f>"复视检查"</f>
        <v>复视检查</v>
      </c>
      <c r="B460" s="3">
        <v>310300012</v>
      </c>
      <c r="C460" s="4">
        <v>13</v>
      </c>
      <c r="D460" s="3" t="str">
        <f t="shared" ref="D460:D488" si="89">"次"</f>
        <v>次</v>
      </c>
      <c r="E460" s="3" t="str">
        <f t="shared" si="88"/>
        <v>检查费</v>
      </c>
    </row>
    <row r="461" customHeight="1" spans="1:5">
      <c r="A461" s="5" t="str">
        <f>"斜视度测定"</f>
        <v>斜视度测定</v>
      </c>
      <c r="B461" s="3">
        <v>310300013</v>
      </c>
      <c r="C461" s="4">
        <v>13</v>
      </c>
      <c r="D461" s="3" t="str">
        <f t="shared" si="89"/>
        <v>次</v>
      </c>
      <c r="E461" s="3" t="str">
        <f t="shared" si="88"/>
        <v>检查费</v>
      </c>
    </row>
    <row r="462" customHeight="1" spans="1:5">
      <c r="A462" s="5" t="str">
        <f>"三棱镜检查"</f>
        <v>三棱镜检查</v>
      </c>
      <c r="B462" s="3">
        <v>310300014</v>
      </c>
      <c r="C462" s="4">
        <v>5.2</v>
      </c>
      <c r="D462" s="3" t="str">
        <f t="shared" si="89"/>
        <v>次</v>
      </c>
      <c r="E462" s="3" t="str">
        <f t="shared" si="88"/>
        <v>检查费</v>
      </c>
    </row>
    <row r="463" customHeight="1" spans="1:5">
      <c r="A463" s="5" t="str">
        <f>"牵拉试验"</f>
        <v>牵拉试验</v>
      </c>
      <c r="B463" s="3">
        <v>310300018</v>
      </c>
      <c r="C463" s="4">
        <v>13</v>
      </c>
      <c r="D463" s="3" t="str">
        <f t="shared" si="89"/>
        <v>次</v>
      </c>
      <c r="E463" s="3" t="str">
        <f t="shared" si="88"/>
        <v>检查费</v>
      </c>
    </row>
    <row r="464" customHeight="1" spans="1:5">
      <c r="A464" s="5" t="str">
        <f>"双眼视觉检查"</f>
        <v>双眼视觉检查</v>
      </c>
      <c r="B464" s="3">
        <v>310300019</v>
      </c>
      <c r="C464" s="4">
        <v>13</v>
      </c>
      <c r="D464" s="3" t="str">
        <f t="shared" si="89"/>
        <v>次</v>
      </c>
      <c r="E464" s="3" t="str">
        <f t="shared" si="88"/>
        <v>检查费</v>
      </c>
    </row>
    <row r="465" customHeight="1" spans="1:5">
      <c r="A465" s="5" t="str">
        <f>"色觉检查"</f>
        <v>色觉检查</v>
      </c>
      <c r="B465" s="3">
        <v>310300020</v>
      </c>
      <c r="C465" s="4">
        <v>6.5</v>
      </c>
      <c r="D465" s="3" t="str">
        <f t="shared" si="89"/>
        <v>次</v>
      </c>
      <c r="E465" s="3" t="str">
        <f t="shared" si="88"/>
        <v>检查费</v>
      </c>
    </row>
    <row r="466" customHeight="1" spans="1:5">
      <c r="A466" s="5" t="str">
        <f>"暗适应测定"</f>
        <v>暗适应测定</v>
      </c>
      <c r="B466" s="3">
        <v>310300022</v>
      </c>
      <c r="C466" s="4">
        <v>26</v>
      </c>
      <c r="D466" s="3" t="str">
        <f t="shared" si="89"/>
        <v>次</v>
      </c>
      <c r="E466" s="3" t="str">
        <f t="shared" ref="E466:E468" si="90">"治疗费"</f>
        <v>治疗费</v>
      </c>
    </row>
    <row r="467" customHeight="1" spans="1:5">
      <c r="A467" s="5" t="str">
        <f>"明适应测定"</f>
        <v>明适应测定</v>
      </c>
      <c r="B467" s="3">
        <v>310300023</v>
      </c>
      <c r="C467" s="4">
        <v>26</v>
      </c>
      <c r="D467" s="3" t="str">
        <f t="shared" si="89"/>
        <v>次</v>
      </c>
      <c r="E467" s="3" t="str">
        <f t="shared" si="90"/>
        <v>治疗费</v>
      </c>
    </row>
    <row r="468" customHeight="1" spans="1:5">
      <c r="A468" s="5" t="str">
        <f>"眼压检查"</f>
        <v>眼压检查</v>
      </c>
      <c r="B468" s="3">
        <v>310300027</v>
      </c>
      <c r="C468" s="4">
        <v>13</v>
      </c>
      <c r="D468" s="3" t="str">
        <f t="shared" si="89"/>
        <v>次</v>
      </c>
      <c r="E468" s="3" t="str">
        <f t="shared" si="90"/>
        <v>治疗费</v>
      </c>
    </row>
    <row r="469" customHeight="1" spans="1:5">
      <c r="A469" s="5" t="str">
        <f>"上睑下垂检查"</f>
        <v>上睑下垂检查</v>
      </c>
      <c r="B469" s="3">
        <v>310300033</v>
      </c>
      <c r="C469" s="4">
        <v>6.5</v>
      </c>
      <c r="D469" s="3" t="str">
        <f t="shared" si="89"/>
        <v>次</v>
      </c>
      <c r="E469" s="3" t="str">
        <f t="shared" ref="E469:E473" si="91">"检查费"</f>
        <v>检查费</v>
      </c>
    </row>
    <row r="470" customHeight="1" spans="1:5">
      <c r="A470" s="5" t="str">
        <f>"泪道冲洗"</f>
        <v>泪道冲洗</v>
      </c>
      <c r="B470" s="3">
        <v>310300036</v>
      </c>
      <c r="C470" s="4">
        <v>3.9</v>
      </c>
      <c r="D470" s="3" t="str">
        <f t="shared" si="89"/>
        <v>次</v>
      </c>
      <c r="E470" s="3" t="str">
        <f t="shared" ref="E470:E474" si="92">"治疗费"</f>
        <v>治疗费</v>
      </c>
    </row>
    <row r="471" customHeight="1" spans="1:5">
      <c r="A471" s="5" t="str">
        <f>"青光眼诱导试验"</f>
        <v>青光眼诱导试验</v>
      </c>
      <c r="B471" s="3">
        <v>310300037</v>
      </c>
      <c r="C471" s="4">
        <v>10</v>
      </c>
      <c r="D471" s="3" t="str">
        <f t="shared" si="89"/>
        <v>次</v>
      </c>
      <c r="E471" s="3" t="str">
        <f t="shared" si="91"/>
        <v>检查费</v>
      </c>
    </row>
    <row r="472" customHeight="1" spans="1:5">
      <c r="A472" s="5" t="str">
        <f>"角膜荧光素染色检查"</f>
        <v>角膜荧光素染色检查</v>
      </c>
      <c r="B472" s="3">
        <v>310300038</v>
      </c>
      <c r="C472" s="4">
        <v>6.5</v>
      </c>
      <c r="D472" s="3" t="str">
        <f t="shared" si="89"/>
        <v>次</v>
      </c>
      <c r="E472" s="3" t="str">
        <f t="shared" si="92"/>
        <v>治疗费</v>
      </c>
    </row>
    <row r="473" customHeight="1" spans="1:5">
      <c r="A473" s="5" t="str">
        <f>"角膜知觉检查"</f>
        <v>角膜知觉检查</v>
      </c>
      <c r="B473" s="3">
        <v>310300043</v>
      </c>
      <c r="C473" s="4">
        <v>13</v>
      </c>
      <c r="D473" s="3" t="str">
        <f t="shared" si="89"/>
        <v>次</v>
      </c>
      <c r="E473" s="3" t="str">
        <f t="shared" si="91"/>
        <v>检查费</v>
      </c>
    </row>
    <row r="474" customHeight="1" spans="1:5">
      <c r="A474" s="5" t="str">
        <f>"前房深度测量"</f>
        <v>前房深度测量</v>
      </c>
      <c r="B474" s="3">
        <v>310300046</v>
      </c>
      <c r="C474" s="4">
        <v>26</v>
      </c>
      <c r="D474" s="3" t="str">
        <f t="shared" si="89"/>
        <v>次</v>
      </c>
      <c r="E474" s="3" t="str">
        <f t="shared" si="92"/>
        <v>治疗费</v>
      </c>
    </row>
    <row r="475" customHeight="1" spans="1:5">
      <c r="A475" s="5" t="str">
        <f>"房水荧光测定"</f>
        <v>房水荧光测定</v>
      </c>
      <c r="B475" s="3">
        <v>310300047</v>
      </c>
      <c r="C475" s="4">
        <v>13</v>
      </c>
      <c r="D475" s="3" t="str">
        <f t="shared" si="89"/>
        <v>次</v>
      </c>
      <c r="E475" s="3" t="str">
        <f>"检查费"</f>
        <v>检查费</v>
      </c>
    </row>
    <row r="476" customHeight="1" spans="1:5">
      <c r="A476" s="5" t="str">
        <f>"裂隙灯检查"</f>
        <v>裂隙灯检查</v>
      </c>
      <c r="B476" s="3">
        <v>310300048</v>
      </c>
      <c r="C476" s="4">
        <v>3.9</v>
      </c>
      <c r="D476" s="3" t="str">
        <f t="shared" si="89"/>
        <v>次</v>
      </c>
      <c r="E476" s="3" t="str">
        <f t="shared" ref="E476:E480" si="93">"治疗费"</f>
        <v>治疗费</v>
      </c>
    </row>
    <row r="477" customHeight="1" spans="1:5">
      <c r="A477" s="5" t="str">
        <f>"裂隙灯下眼底检查"</f>
        <v>裂隙灯下眼底检查</v>
      </c>
      <c r="B477" s="3">
        <v>310300049</v>
      </c>
      <c r="C477" s="4">
        <v>13</v>
      </c>
      <c r="D477" s="3" t="str">
        <f t="shared" si="89"/>
        <v>次</v>
      </c>
      <c r="E477" s="3" t="str">
        <f>"检查费"</f>
        <v>检查费</v>
      </c>
    </row>
    <row r="478" customHeight="1" spans="1:5">
      <c r="A478" s="5" t="str">
        <f>"裂隙灯下房角镜检查"</f>
        <v>裂隙灯下房角镜检查</v>
      </c>
      <c r="B478" s="3">
        <v>310300050</v>
      </c>
      <c r="C478" s="4">
        <v>5.2</v>
      </c>
      <c r="D478" s="3" t="str">
        <f t="shared" si="89"/>
        <v>次</v>
      </c>
      <c r="E478" s="3" t="str">
        <f t="shared" si="93"/>
        <v>治疗费</v>
      </c>
    </row>
    <row r="479" customHeight="1" spans="1:5">
      <c r="A479" s="5" t="str">
        <f>"眼底照相"</f>
        <v>眼底照相</v>
      </c>
      <c r="B479" s="3">
        <v>310300053</v>
      </c>
      <c r="C479" s="4">
        <v>26</v>
      </c>
      <c r="D479" s="3" t="str">
        <f t="shared" si="89"/>
        <v>次</v>
      </c>
      <c r="E479" s="3" t="str">
        <f t="shared" si="93"/>
        <v>治疗费</v>
      </c>
    </row>
    <row r="480" customHeight="1" spans="1:5">
      <c r="A480" s="5" t="str">
        <f>"裂隙灯下眼底视神经立体照相"</f>
        <v>裂隙灯下眼底视神经立体照相</v>
      </c>
      <c r="B480" s="3">
        <v>310300055</v>
      </c>
      <c r="C480" s="4">
        <v>78</v>
      </c>
      <c r="D480" s="3" t="str">
        <f t="shared" si="89"/>
        <v>次</v>
      </c>
      <c r="E480" s="3" t="str">
        <f t="shared" si="93"/>
        <v>治疗费</v>
      </c>
    </row>
    <row r="481" customHeight="1" spans="1:5">
      <c r="A481" s="5" t="str">
        <f>"眼底检查"</f>
        <v>眼底检查</v>
      </c>
      <c r="B481" s="3">
        <v>310300056</v>
      </c>
      <c r="C481" s="4">
        <v>6.5</v>
      </c>
      <c r="D481" s="3" t="str">
        <f t="shared" si="89"/>
        <v>次</v>
      </c>
      <c r="E481" s="3" t="str">
        <f t="shared" ref="E481:E486" si="94">"检查费"</f>
        <v>检查费</v>
      </c>
    </row>
    <row r="482" customHeight="1" spans="1:5">
      <c r="A482" s="5" t="str">
        <f>"视网膜裂孔定位检查"</f>
        <v>视网膜裂孔定位检查</v>
      </c>
      <c r="B482" s="3">
        <v>310300058</v>
      </c>
      <c r="C482" s="4">
        <v>13</v>
      </c>
      <c r="D482" s="3" t="str">
        <f t="shared" si="89"/>
        <v>次</v>
      </c>
      <c r="E482" s="3" t="str">
        <f t="shared" ref="E482:E501" si="95">"治疗费"</f>
        <v>治疗费</v>
      </c>
    </row>
    <row r="483" customHeight="1" spans="1:5">
      <c r="A483" s="5" t="str">
        <f>"眼外肌功能检查"</f>
        <v>眼外肌功能检查</v>
      </c>
      <c r="B483" s="3">
        <v>310300069</v>
      </c>
      <c r="C483" s="4">
        <v>6.5</v>
      </c>
      <c r="D483" s="3" t="str">
        <f t="shared" si="89"/>
        <v>次</v>
      </c>
      <c r="E483" s="3" t="str">
        <f t="shared" si="94"/>
        <v>检查费</v>
      </c>
    </row>
    <row r="484" customHeight="1" spans="1:5">
      <c r="A484" s="5" t="str">
        <f>"马氏(Maddox)杆试验"</f>
        <v>马氏(Maddox)杆试验</v>
      </c>
      <c r="B484" s="3">
        <v>310300072</v>
      </c>
      <c r="C484" s="4">
        <v>13</v>
      </c>
      <c r="D484" s="3" t="str">
        <f t="shared" si="89"/>
        <v>次</v>
      </c>
      <c r="E484" s="3" t="str">
        <f t="shared" si="95"/>
        <v>治疗费</v>
      </c>
    </row>
    <row r="485" customHeight="1" spans="1:5">
      <c r="A485" s="5" t="str">
        <f>"角膜刮片检查"</f>
        <v>角膜刮片检查</v>
      </c>
      <c r="B485" s="3">
        <v>310300076</v>
      </c>
      <c r="C485" s="4">
        <v>13</v>
      </c>
      <c r="D485" s="3" t="str">
        <f t="shared" si="89"/>
        <v>次</v>
      </c>
      <c r="E485" s="3" t="str">
        <f t="shared" si="94"/>
        <v>检查费</v>
      </c>
    </row>
    <row r="486" customHeight="1" spans="1:5">
      <c r="A486" s="5" t="str">
        <f>"结膜囊取材检查"</f>
        <v>结膜囊取材检查</v>
      </c>
      <c r="B486" s="3">
        <v>310300077</v>
      </c>
      <c r="C486" s="4">
        <v>13</v>
      </c>
      <c r="D486" s="3" t="str">
        <f t="shared" si="89"/>
        <v>次</v>
      </c>
      <c r="E486" s="3" t="str">
        <f t="shared" si="94"/>
        <v>检查费</v>
      </c>
    </row>
    <row r="487" customHeight="1" spans="1:5">
      <c r="A487" s="5" t="str">
        <f>"电解倒睫"</f>
        <v>电解倒睫</v>
      </c>
      <c r="B487" s="3">
        <v>310300085</v>
      </c>
      <c r="C487" s="4">
        <v>13</v>
      </c>
      <c r="D487" s="3" t="str">
        <f t="shared" si="89"/>
        <v>次</v>
      </c>
      <c r="E487" s="3" t="str">
        <f t="shared" si="95"/>
        <v>治疗费</v>
      </c>
    </row>
    <row r="488" customHeight="1" spans="1:5">
      <c r="A488" s="5" t="str">
        <f>"睑板腺按摩"</f>
        <v>睑板腺按摩</v>
      </c>
      <c r="B488" s="3">
        <v>310300087</v>
      </c>
      <c r="C488" s="4">
        <v>13</v>
      </c>
      <c r="D488" s="3" t="str">
        <f t="shared" si="89"/>
        <v>次</v>
      </c>
      <c r="E488" s="3" t="str">
        <f t="shared" si="95"/>
        <v>治疗费</v>
      </c>
    </row>
    <row r="489" customHeight="1" spans="1:5">
      <c r="A489" s="5" t="str">
        <f>"冲洗结膜囊"</f>
        <v>冲洗结膜囊</v>
      </c>
      <c r="B489" s="3">
        <v>310300088</v>
      </c>
      <c r="C489" s="4">
        <v>2.6</v>
      </c>
      <c r="D489" s="3" t="str">
        <f>"-"</f>
        <v>-</v>
      </c>
      <c r="E489" s="3" t="str">
        <f t="shared" si="95"/>
        <v>治疗费</v>
      </c>
    </row>
    <row r="490" customHeight="1" spans="1:5">
      <c r="A490" s="5" t="str">
        <f>"睑结膜伪膜去除冲洗"</f>
        <v>睑结膜伪膜去除冲洗</v>
      </c>
      <c r="B490" s="3">
        <v>310300089</v>
      </c>
      <c r="C490" s="4">
        <v>13</v>
      </c>
      <c r="D490" s="3" t="str">
        <f t="shared" ref="D490:D504" si="96">"次"</f>
        <v>次</v>
      </c>
      <c r="E490" s="3" t="str">
        <f t="shared" si="95"/>
        <v>治疗费</v>
      </c>
    </row>
    <row r="491" customHeight="1" spans="1:5">
      <c r="A491" s="5" t="str">
        <f>"取结膜结石"</f>
        <v>取结膜结石</v>
      </c>
      <c r="B491" s="3">
        <v>310300091</v>
      </c>
      <c r="C491" s="4">
        <v>13</v>
      </c>
      <c r="D491" s="3" t="str">
        <f t="shared" si="96"/>
        <v>次</v>
      </c>
      <c r="E491" s="3" t="str">
        <f t="shared" si="95"/>
        <v>治疗费</v>
      </c>
    </row>
    <row r="492" customHeight="1" spans="1:5">
      <c r="A492" s="5" t="str">
        <f>"沙眼磨擦压挤术"</f>
        <v>沙眼磨擦压挤术</v>
      </c>
      <c r="B492" s="3">
        <v>310300092</v>
      </c>
      <c r="C492" s="4">
        <v>13</v>
      </c>
      <c r="D492" s="3" t="str">
        <f t="shared" si="96"/>
        <v>次</v>
      </c>
      <c r="E492" s="3" t="str">
        <f t="shared" si="95"/>
        <v>治疗费</v>
      </c>
    </row>
    <row r="493" customHeight="1" spans="1:5">
      <c r="A493" s="5" t="str">
        <f>"眼部脓肿切开引流术"</f>
        <v>眼部脓肿切开引流术</v>
      </c>
      <c r="B493" s="3">
        <v>310300093</v>
      </c>
      <c r="C493" s="4">
        <v>65</v>
      </c>
      <c r="D493" s="3" t="str">
        <f t="shared" si="96"/>
        <v>次</v>
      </c>
      <c r="E493" s="3" t="str">
        <f t="shared" si="95"/>
        <v>治疗费</v>
      </c>
    </row>
    <row r="494" customHeight="1" spans="1:5">
      <c r="A494" s="5" t="str">
        <f>"球结膜下注射"</f>
        <v>球结膜下注射</v>
      </c>
      <c r="B494" s="3">
        <v>310300094</v>
      </c>
      <c r="C494" s="4">
        <v>6.5</v>
      </c>
      <c r="D494" s="3" t="str">
        <f t="shared" si="96"/>
        <v>次</v>
      </c>
      <c r="E494" s="3" t="str">
        <f t="shared" si="95"/>
        <v>治疗费</v>
      </c>
    </row>
    <row r="495" customHeight="1" spans="1:5">
      <c r="A495" s="5" t="str">
        <f>"球后注射"</f>
        <v>球后注射</v>
      </c>
      <c r="B495" s="3">
        <v>310300095</v>
      </c>
      <c r="C495" s="4">
        <v>13</v>
      </c>
      <c r="D495" s="3" t="str">
        <f t="shared" si="96"/>
        <v>次</v>
      </c>
      <c r="E495" s="3" t="str">
        <f t="shared" si="95"/>
        <v>治疗费</v>
      </c>
    </row>
    <row r="496" customHeight="1" spans="1:5">
      <c r="A496" s="5" t="str">
        <f>"眶上神经封闭"</f>
        <v>眶上神经封闭</v>
      </c>
      <c r="B496" s="3">
        <v>310300096</v>
      </c>
      <c r="C496" s="4">
        <v>13</v>
      </c>
      <c r="D496" s="3" t="str">
        <f t="shared" si="96"/>
        <v>次</v>
      </c>
      <c r="E496" s="3" t="str">
        <f t="shared" si="95"/>
        <v>治疗费</v>
      </c>
    </row>
    <row r="497" customHeight="1" spans="1:5">
      <c r="A497" s="5" t="str">
        <f>"角膜异物剔除术"</f>
        <v>角膜异物剔除术</v>
      </c>
      <c r="B497" s="3">
        <v>310300102</v>
      </c>
      <c r="C497" s="4">
        <v>26</v>
      </c>
      <c r="D497" s="3" t="str">
        <f t="shared" si="96"/>
        <v>次</v>
      </c>
      <c r="E497" s="3" t="str">
        <f t="shared" si="95"/>
        <v>治疗费</v>
      </c>
    </row>
    <row r="498" customHeight="1" spans="1:5">
      <c r="A498" s="5" t="str">
        <f>"角膜溃疡灼烙术"</f>
        <v>角膜溃疡灼烙术</v>
      </c>
      <c r="B498" s="3">
        <v>310300103</v>
      </c>
      <c r="C498" s="4">
        <v>20</v>
      </c>
      <c r="D498" s="3" t="str">
        <f t="shared" si="96"/>
        <v>次</v>
      </c>
      <c r="E498" s="3" t="str">
        <f t="shared" si="95"/>
        <v>治疗费</v>
      </c>
    </row>
    <row r="499" customHeight="1" spans="1:5">
      <c r="A499" s="5" t="str">
        <f>"泪小点扩张"</f>
        <v>泪小点扩张</v>
      </c>
      <c r="B499" s="3">
        <v>310300105</v>
      </c>
      <c r="C499" s="4">
        <v>13</v>
      </c>
      <c r="D499" s="3" t="str">
        <f t="shared" si="96"/>
        <v>次</v>
      </c>
      <c r="E499" s="3" t="str">
        <f t="shared" si="95"/>
        <v>治疗费</v>
      </c>
    </row>
    <row r="500" customHeight="1" spans="1:5">
      <c r="A500" s="5" t="str">
        <f>"泪道探通术"</f>
        <v>泪道探通术</v>
      </c>
      <c r="B500" s="3">
        <v>310300106</v>
      </c>
      <c r="C500" s="4">
        <v>13</v>
      </c>
      <c r="D500" s="3" t="str">
        <f t="shared" si="96"/>
        <v>次</v>
      </c>
      <c r="E500" s="3" t="str">
        <f t="shared" si="95"/>
        <v>治疗费</v>
      </c>
    </row>
    <row r="501" customHeight="1" spans="1:5">
      <c r="A501" s="5" t="str">
        <f>"泪道探通术激光"</f>
        <v>泪道探通术激光</v>
      </c>
      <c r="B501" s="3" t="str">
        <f>"310300106-a"</f>
        <v>310300106-a</v>
      </c>
      <c r="C501" s="4">
        <v>20</v>
      </c>
      <c r="D501" s="3" t="str">
        <f t="shared" si="96"/>
        <v>次</v>
      </c>
      <c r="E501" s="3" t="str">
        <f t="shared" si="95"/>
        <v>治疗费</v>
      </c>
    </row>
    <row r="502" customHeight="1" spans="1:5">
      <c r="A502" s="5" t="str">
        <f>"纯音听阈测定"</f>
        <v>纯音听阈测定</v>
      </c>
      <c r="B502" s="3">
        <v>310401002</v>
      </c>
      <c r="C502" s="4">
        <v>13</v>
      </c>
      <c r="D502" s="3" t="str">
        <f t="shared" si="96"/>
        <v>次</v>
      </c>
      <c r="E502" s="3" t="str">
        <f t="shared" ref="E502:E505" si="97">"检查费"</f>
        <v>检查费</v>
      </c>
    </row>
    <row r="503" customHeight="1" spans="1:5">
      <c r="A503" s="5" t="str">
        <f>"听力筛选试验"</f>
        <v>听力筛选试验</v>
      </c>
      <c r="B503" s="3">
        <v>310401025</v>
      </c>
      <c r="C503" s="4">
        <v>65</v>
      </c>
      <c r="D503" s="3" t="str">
        <f t="shared" si="96"/>
        <v>次</v>
      </c>
      <c r="E503" s="3" t="str">
        <f t="shared" si="97"/>
        <v>检查费</v>
      </c>
    </row>
    <row r="504" customHeight="1" spans="1:5">
      <c r="A504" s="5" t="str">
        <f>"硬性耳内镜检查"</f>
        <v>硬性耳内镜检查</v>
      </c>
      <c r="B504" s="3">
        <v>310401035</v>
      </c>
      <c r="C504" s="4">
        <v>2.6</v>
      </c>
      <c r="D504" s="3" t="str">
        <f t="shared" si="96"/>
        <v>次</v>
      </c>
      <c r="E504" s="3" t="str">
        <f t="shared" ref="E504:E529" si="98">"治疗费"</f>
        <v>治疗费</v>
      </c>
    </row>
    <row r="505" customHeight="1" spans="1:5">
      <c r="A505" s="5" t="str">
        <f>"电耳镜检查"</f>
        <v>电耳镜检查</v>
      </c>
      <c r="B505" s="3">
        <v>310401036</v>
      </c>
      <c r="C505" s="4">
        <v>2.6</v>
      </c>
      <c r="D505" s="3" t="str">
        <f>"-"</f>
        <v>-</v>
      </c>
      <c r="E505" s="3" t="str">
        <f t="shared" si="97"/>
        <v>检查费</v>
      </c>
    </row>
    <row r="506" customHeight="1" spans="1:5">
      <c r="A506" s="5" t="str">
        <f>"鼓膜穿刺术"</f>
        <v>鼓膜穿刺术</v>
      </c>
      <c r="B506" s="3">
        <v>310401040</v>
      </c>
      <c r="C506" s="4">
        <v>39</v>
      </c>
      <c r="D506" s="3" t="str">
        <f t="shared" ref="D506:D529" si="99">"次"</f>
        <v>次</v>
      </c>
      <c r="E506" s="3" t="str">
        <f t="shared" si="98"/>
        <v>治疗费</v>
      </c>
    </row>
    <row r="507" customHeight="1" spans="1:5">
      <c r="A507" s="5" t="str">
        <f>"耵聍冲洗"</f>
        <v>耵聍冲洗</v>
      </c>
      <c r="B507" s="3">
        <v>310401041</v>
      </c>
      <c r="C507" s="4">
        <v>3.9</v>
      </c>
      <c r="D507" s="3" t="str">
        <f>"-"</f>
        <v>-</v>
      </c>
      <c r="E507" s="3" t="str">
        <f t="shared" si="98"/>
        <v>治疗费</v>
      </c>
    </row>
    <row r="508" customHeight="1" spans="1:5">
      <c r="A508" s="5" t="str">
        <f>"盯聍取出"</f>
        <v>盯聍取出</v>
      </c>
      <c r="B508" s="3" t="str">
        <f>"310401041-a"</f>
        <v>310401041-a</v>
      </c>
      <c r="C508" s="4">
        <v>13</v>
      </c>
      <c r="D508" s="3" t="str">
        <f t="shared" si="99"/>
        <v>次</v>
      </c>
      <c r="E508" s="3" t="str">
        <f t="shared" si="98"/>
        <v>治疗费</v>
      </c>
    </row>
    <row r="509" customHeight="1" spans="1:5">
      <c r="A509" s="5" t="str">
        <f>"耳正负压治疗"</f>
        <v>耳正负压治疗</v>
      </c>
      <c r="B509" s="3">
        <v>310401042</v>
      </c>
      <c r="C509" s="4">
        <v>13</v>
      </c>
      <c r="D509" s="3" t="str">
        <f t="shared" si="99"/>
        <v>次</v>
      </c>
      <c r="E509" s="3" t="str">
        <f t="shared" si="98"/>
        <v>治疗费</v>
      </c>
    </row>
    <row r="510" customHeight="1" spans="1:5">
      <c r="A510" s="5" t="str">
        <f>"耳神经阻滞"</f>
        <v>耳神经阻滞</v>
      </c>
      <c r="B510" s="3">
        <v>310401047</v>
      </c>
      <c r="C510" s="4">
        <v>39</v>
      </c>
      <c r="D510" s="3" t="str">
        <f t="shared" si="99"/>
        <v>次</v>
      </c>
      <c r="E510" s="3" t="str">
        <f t="shared" si="98"/>
        <v>治疗费</v>
      </c>
    </row>
    <row r="511" customHeight="1" spans="1:5">
      <c r="A511" s="5" t="str">
        <f>"耳廓假性囊肿穿刺压迫治疗"</f>
        <v>耳廓假性囊肿穿刺压迫治疗</v>
      </c>
      <c r="B511" s="3">
        <v>310401048</v>
      </c>
      <c r="C511" s="4">
        <v>39</v>
      </c>
      <c r="D511" s="3" t="str">
        <f t="shared" si="99"/>
        <v>次</v>
      </c>
      <c r="E511" s="3" t="str">
        <f t="shared" si="98"/>
        <v>治疗费</v>
      </c>
    </row>
    <row r="512" customHeight="1" spans="1:5">
      <c r="A512" s="5" t="str">
        <f>"耳部特殊治疗"</f>
        <v>耳部特殊治疗</v>
      </c>
      <c r="B512" s="3">
        <v>310401049</v>
      </c>
      <c r="C512" s="4">
        <v>33</v>
      </c>
      <c r="D512" s="3" t="str">
        <f t="shared" si="99"/>
        <v>次</v>
      </c>
      <c r="E512" s="3" t="str">
        <f t="shared" si="98"/>
        <v>治疗费</v>
      </c>
    </row>
    <row r="513" customHeight="1" spans="1:5">
      <c r="A513" s="5" t="str">
        <f>"前鼻镜检查"</f>
        <v>前鼻镜检查</v>
      </c>
      <c r="B513" s="3">
        <v>310402002</v>
      </c>
      <c r="C513" s="4">
        <v>3.9</v>
      </c>
      <c r="D513" s="3" t="str">
        <f t="shared" si="99"/>
        <v>次</v>
      </c>
      <c r="E513" s="3" t="str">
        <f t="shared" si="98"/>
        <v>治疗费</v>
      </c>
    </row>
    <row r="514" customHeight="1" spans="1:5">
      <c r="A514" s="5" t="str">
        <f>"嗅觉功能检测"</f>
        <v>嗅觉功能检测</v>
      </c>
      <c r="B514" s="3">
        <v>310402007</v>
      </c>
      <c r="C514" s="4">
        <v>20</v>
      </c>
      <c r="D514" s="3" t="str">
        <f t="shared" si="99"/>
        <v>次</v>
      </c>
      <c r="E514" s="3" t="str">
        <f t="shared" si="98"/>
        <v>治疗费</v>
      </c>
    </row>
    <row r="515" customHeight="1" spans="1:5">
      <c r="A515" s="5" t="str">
        <f>"鼻腔冲洗"</f>
        <v>鼻腔冲洗</v>
      </c>
      <c r="B515" s="3">
        <v>310402012</v>
      </c>
      <c r="C515" s="4">
        <v>20</v>
      </c>
      <c r="D515" s="3" t="str">
        <f t="shared" si="99"/>
        <v>次</v>
      </c>
      <c r="E515" s="3" t="str">
        <f t="shared" si="98"/>
        <v>治疗费</v>
      </c>
    </row>
    <row r="516" customHeight="1" spans="1:5">
      <c r="A516" s="5" t="str">
        <f>"鼻腔取活检术"</f>
        <v>鼻腔取活检术</v>
      </c>
      <c r="B516" s="3">
        <v>310402013</v>
      </c>
      <c r="C516" s="4">
        <v>39</v>
      </c>
      <c r="D516" s="3" t="str">
        <f t="shared" si="99"/>
        <v>次</v>
      </c>
      <c r="E516" s="3" t="str">
        <f t="shared" si="98"/>
        <v>治疗费</v>
      </c>
    </row>
    <row r="517" customHeight="1" spans="1:5">
      <c r="A517" s="5" t="str">
        <f>"上颌窦穿刺术"</f>
        <v>上颌窦穿刺术</v>
      </c>
      <c r="B517" s="3">
        <v>310402014</v>
      </c>
      <c r="C517" s="4">
        <v>39</v>
      </c>
      <c r="D517" s="3" t="str">
        <f t="shared" si="99"/>
        <v>次</v>
      </c>
      <c r="E517" s="3" t="str">
        <f t="shared" si="98"/>
        <v>治疗费</v>
      </c>
    </row>
    <row r="518" customHeight="1" spans="1:5">
      <c r="A518" s="5" t="str">
        <f>"鼻咽部活检术"</f>
        <v>鼻咽部活检术</v>
      </c>
      <c r="B518" s="3">
        <v>310402016</v>
      </c>
      <c r="C518" s="4">
        <v>39</v>
      </c>
      <c r="D518" s="3" t="str">
        <f t="shared" si="99"/>
        <v>次</v>
      </c>
      <c r="E518" s="3" t="str">
        <f t="shared" si="98"/>
        <v>治疗费</v>
      </c>
    </row>
    <row r="519" customHeight="1" spans="1:5">
      <c r="A519" s="5" t="str">
        <f>"下鼻甲封闭术"</f>
        <v>下鼻甲封闭术</v>
      </c>
      <c r="B519" s="3">
        <v>310402017</v>
      </c>
      <c r="C519" s="4">
        <v>26</v>
      </c>
      <c r="D519" s="3" t="str">
        <f t="shared" si="99"/>
        <v>次</v>
      </c>
      <c r="E519" s="3" t="str">
        <f t="shared" si="98"/>
        <v>治疗费</v>
      </c>
    </row>
    <row r="520" customHeight="1" spans="1:5">
      <c r="A520" s="5" t="str">
        <f>"前鼻孔填塞"</f>
        <v>前鼻孔填塞</v>
      </c>
      <c r="B520" s="3">
        <v>310402022</v>
      </c>
      <c r="C520" s="4">
        <v>33</v>
      </c>
      <c r="D520" s="3" t="str">
        <f t="shared" si="99"/>
        <v>次</v>
      </c>
      <c r="E520" s="3" t="str">
        <f t="shared" si="98"/>
        <v>治疗费</v>
      </c>
    </row>
    <row r="521" customHeight="1" spans="1:5">
      <c r="A521" s="5" t="str">
        <f>"后鼻孔填塞"</f>
        <v>后鼻孔填塞</v>
      </c>
      <c r="B521" s="3">
        <v>310402023</v>
      </c>
      <c r="C521" s="4">
        <v>39</v>
      </c>
      <c r="D521" s="3" t="str">
        <f t="shared" si="99"/>
        <v>次</v>
      </c>
      <c r="E521" s="3" t="str">
        <f t="shared" si="98"/>
        <v>治疗费</v>
      </c>
    </row>
    <row r="522" customHeight="1" spans="1:5">
      <c r="A522" s="5" t="str">
        <f>"鼻异物取出"</f>
        <v>鼻异物取出</v>
      </c>
      <c r="B522" s="3">
        <v>310402024</v>
      </c>
      <c r="C522" s="4">
        <v>20</v>
      </c>
      <c r="D522" s="3" t="str">
        <f t="shared" si="99"/>
        <v>次</v>
      </c>
      <c r="E522" s="3" t="str">
        <f t="shared" si="98"/>
        <v>治疗费</v>
      </c>
    </row>
    <row r="523" customHeight="1" spans="1:5">
      <c r="A523" s="5" t="str">
        <f>"鼻部特殊治疗"</f>
        <v>鼻部特殊治疗</v>
      </c>
      <c r="B523" s="3">
        <v>310402025</v>
      </c>
      <c r="C523" s="4">
        <v>33</v>
      </c>
      <c r="D523" s="3" t="str">
        <f t="shared" si="99"/>
        <v>次</v>
      </c>
      <c r="E523" s="3" t="str">
        <f t="shared" si="98"/>
        <v>治疗费</v>
      </c>
    </row>
    <row r="524" customHeight="1" spans="1:5">
      <c r="A524" s="5" t="str">
        <f>"鼻出血粘膜药物烧灼"</f>
        <v>鼻出血粘膜药物烧灼</v>
      </c>
      <c r="B524" s="3" t="str">
        <f>"310402025-a"</f>
        <v>310402025-a</v>
      </c>
      <c r="C524" s="4">
        <v>13</v>
      </c>
      <c r="D524" s="3" t="str">
        <f t="shared" si="99"/>
        <v>次</v>
      </c>
      <c r="E524" s="3" t="str">
        <f t="shared" si="98"/>
        <v>治疗费</v>
      </c>
    </row>
    <row r="525" customHeight="1" spans="1:5">
      <c r="A525" s="5" t="str">
        <f>"间接鼻咽镜检查"</f>
        <v>间接鼻咽镜检查</v>
      </c>
      <c r="B525" s="3">
        <v>310403007</v>
      </c>
      <c r="C525" s="4">
        <v>20</v>
      </c>
      <c r="D525" s="3" t="str">
        <f t="shared" si="99"/>
        <v>次</v>
      </c>
      <c r="E525" s="3" t="str">
        <f t="shared" si="98"/>
        <v>治疗费</v>
      </c>
    </row>
    <row r="526" customHeight="1" spans="1:5">
      <c r="A526" s="5" t="str">
        <f>"硬性鼻咽镜检查"</f>
        <v>硬性鼻咽镜检查</v>
      </c>
      <c r="B526" s="3">
        <v>310403008</v>
      </c>
      <c r="C526" s="4">
        <v>26</v>
      </c>
      <c r="D526" s="3" t="str">
        <f t="shared" si="99"/>
        <v>次</v>
      </c>
      <c r="E526" s="3" t="str">
        <f t="shared" si="98"/>
        <v>治疗费</v>
      </c>
    </row>
    <row r="527" customHeight="1" spans="1:5">
      <c r="A527" s="5" t="str">
        <f>"间接喉镜检查"</f>
        <v>间接喉镜检查</v>
      </c>
      <c r="B527" s="3">
        <v>310403012</v>
      </c>
      <c r="C527" s="4">
        <v>7.8</v>
      </c>
      <c r="D527" s="3" t="str">
        <f t="shared" si="99"/>
        <v>次</v>
      </c>
      <c r="E527" s="3" t="str">
        <f t="shared" si="98"/>
        <v>治疗费</v>
      </c>
    </row>
    <row r="528" customHeight="1" spans="1:5">
      <c r="A528" s="5" t="str">
        <f>"喉上神经封闭术"</f>
        <v>喉上神经封闭术</v>
      </c>
      <c r="B528" s="3">
        <v>310403015</v>
      </c>
      <c r="C528" s="4">
        <v>26</v>
      </c>
      <c r="D528" s="3" t="str">
        <f t="shared" si="99"/>
        <v>次</v>
      </c>
      <c r="E528" s="3" t="str">
        <f t="shared" si="98"/>
        <v>治疗费</v>
      </c>
    </row>
    <row r="529" customHeight="1" spans="1:5">
      <c r="A529" s="5" t="str">
        <f>"咽部特殊治疗"</f>
        <v>咽部特殊治疗</v>
      </c>
      <c r="B529" s="3">
        <v>310403016</v>
      </c>
      <c r="C529" s="4">
        <v>33</v>
      </c>
      <c r="D529" s="3" t="str">
        <f t="shared" si="99"/>
        <v>次</v>
      </c>
      <c r="E529" s="3" t="str">
        <f t="shared" si="98"/>
        <v>治疗费</v>
      </c>
    </row>
    <row r="530" customHeight="1" spans="1:5">
      <c r="A530" s="5" t="str">
        <f>"银尔通活性银离子抗菌液"</f>
        <v>银尔通活性银离子抗菌液</v>
      </c>
      <c r="B530" s="3" t="str">
        <f>"310403016-1"</f>
        <v>310403016-1</v>
      </c>
      <c r="C530" s="4">
        <v>94.5</v>
      </c>
      <c r="D530" s="3" t="str">
        <f>"30ml"</f>
        <v>30ml</v>
      </c>
      <c r="E530" s="3" t="str">
        <f t="shared" ref="E530:E533" si="100">"材料费"</f>
        <v>材料费</v>
      </c>
    </row>
    <row r="531" customHeight="1" spans="1:5">
      <c r="A531" s="5" t="str">
        <f>"活性银离子抗菌液(银尔通)"</f>
        <v>活性银离子抗菌液(银尔通)</v>
      </c>
      <c r="B531" s="3" t="str">
        <f>"310403016-1-1"</f>
        <v>310403016-1-1</v>
      </c>
      <c r="C531" s="4">
        <v>94.2</v>
      </c>
      <c r="D531" s="3" t="str">
        <f>"200ml"</f>
        <v>200ml</v>
      </c>
      <c r="E531" s="3" t="str">
        <f t="shared" si="100"/>
        <v>材料费</v>
      </c>
    </row>
    <row r="532" customHeight="1" spans="1:5">
      <c r="A532" s="5" t="str">
        <f>"咽部特殊治疗指口咽部异物取出术"</f>
        <v>咽部特殊治疗指口咽部异物取出术</v>
      </c>
      <c r="B532" s="3" t="str">
        <f>"310403016-b"</f>
        <v>310403016-b</v>
      </c>
      <c r="C532" s="4">
        <v>13</v>
      </c>
      <c r="D532" s="3" t="str">
        <f>"次"</f>
        <v>次</v>
      </c>
      <c r="E532" s="3" t="str">
        <f t="shared" ref="E532:E535" si="101">"治疗费"</f>
        <v>治疗费</v>
      </c>
    </row>
    <row r="533" customHeight="1" spans="1:5">
      <c r="A533" s="5" t="str">
        <f>"一次性口腔器械盒（外科）"</f>
        <v>一次性口腔器械盒（外科）</v>
      </c>
      <c r="B533" s="3" t="str">
        <f>"3105-2-3"</f>
        <v>3105-2-3</v>
      </c>
      <c r="C533" s="4">
        <v>4.2</v>
      </c>
      <c r="D533" s="3" t="str">
        <f>"套"</f>
        <v>套</v>
      </c>
      <c r="E533" s="3" t="str">
        <f t="shared" si="100"/>
        <v>材料费</v>
      </c>
    </row>
    <row r="534" customHeight="1" spans="1:5">
      <c r="A534" s="5" t="str">
        <f>"全口牙病系统检查与治疗设计"</f>
        <v>全口牙病系统检查与治疗设计</v>
      </c>
      <c r="B534" s="3">
        <v>310501001</v>
      </c>
      <c r="C534" s="4">
        <v>12</v>
      </c>
      <c r="D534" s="3" t="str">
        <f t="shared" ref="D534:D537" si="102">"-"</f>
        <v>-</v>
      </c>
      <c r="E534" s="3" t="str">
        <f t="shared" si="101"/>
        <v>治疗费</v>
      </c>
    </row>
    <row r="535" customHeight="1" spans="1:5">
      <c r="A535" s="5" t="str">
        <f>"牙周专业检查加收"</f>
        <v>牙周专业检查加收</v>
      </c>
      <c r="B535" s="3" t="str">
        <f>"310501001-a"</f>
        <v>310501001-a</v>
      </c>
      <c r="C535" s="4">
        <v>6</v>
      </c>
      <c r="D535" s="3" t="str">
        <f t="shared" si="102"/>
        <v>-</v>
      </c>
      <c r="E535" s="3" t="str">
        <f t="shared" si="101"/>
        <v>治疗费</v>
      </c>
    </row>
    <row r="536" customHeight="1" spans="1:5">
      <c r="A536" s="5" t="str">
        <f>"咬合检查"</f>
        <v>咬合检查</v>
      </c>
      <c r="B536" s="3">
        <v>310501002</v>
      </c>
      <c r="C536" s="4">
        <v>2.4</v>
      </c>
      <c r="D536" s="3" t="str">
        <f t="shared" ref="D536:D541" si="103">"次"</f>
        <v>次</v>
      </c>
      <c r="E536" s="3" t="str">
        <f>"检查费"</f>
        <v>检查费</v>
      </c>
    </row>
    <row r="537" customHeight="1" spans="1:5">
      <c r="A537" s="5" t="str">
        <f>"颌力测量检查"</f>
        <v>颌力测量检查</v>
      </c>
      <c r="B537" s="3">
        <v>310501003</v>
      </c>
      <c r="C537" s="4">
        <v>12</v>
      </c>
      <c r="D537" s="3" t="str">
        <f t="shared" si="102"/>
        <v>-</v>
      </c>
      <c r="E537" s="3" t="str">
        <f t="shared" ref="E537:E541" si="104">"治疗费"</f>
        <v>治疗费</v>
      </c>
    </row>
    <row r="538" customHeight="1" spans="1:5">
      <c r="A538" s="5" t="str">
        <f>"咀嚼功能检查"</f>
        <v>咀嚼功能检查</v>
      </c>
      <c r="B538" s="3">
        <v>310501004</v>
      </c>
      <c r="C538" s="4">
        <v>6</v>
      </c>
      <c r="D538" s="3" t="str">
        <f t="shared" si="103"/>
        <v>次</v>
      </c>
      <c r="E538" s="3" t="str">
        <f t="shared" ref="E538:E544" si="105">"检查费"</f>
        <v>检查费</v>
      </c>
    </row>
    <row r="539" customHeight="1" spans="1:5">
      <c r="A539" s="5" t="str">
        <f>"口腔模型制备"</f>
        <v>口腔模型制备</v>
      </c>
      <c r="B539" s="3">
        <v>310501007</v>
      </c>
      <c r="C539" s="4">
        <v>24</v>
      </c>
      <c r="D539" s="3" t="str">
        <f>"单颌"</f>
        <v>单颌</v>
      </c>
      <c r="E539" s="3" t="str">
        <f t="shared" si="104"/>
        <v>治疗费</v>
      </c>
    </row>
    <row r="540" customHeight="1" spans="1:5">
      <c r="A540" s="5" t="str">
        <f>"记存模型制备"</f>
        <v>记存模型制备</v>
      </c>
      <c r="B540" s="3">
        <v>310501008</v>
      </c>
      <c r="C540" s="4">
        <v>3.6</v>
      </c>
      <c r="D540" s="3" t="str">
        <f>"单颌"</f>
        <v>单颌</v>
      </c>
      <c r="E540" s="3" t="str">
        <f t="shared" si="104"/>
        <v>治疗费</v>
      </c>
    </row>
    <row r="541" customHeight="1" spans="1:5">
      <c r="A541" s="5" t="str">
        <f>"面部模型制备"</f>
        <v>面部模型制备</v>
      </c>
      <c r="B541" s="3">
        <v>310501009</v>
      </c>
      <c r="C541" s="4">
        <v>12</v>
      </c>
      <c r="D541" s="3" t="str">
        <f t="shared" si="103"/>
        <v>次</v>
      </c>
      <c r="E541" s="3" t="str">
        <f t="shared" si="104"/>
        <v>治疗费</v>
      </c>
    </row>
    <row r="542" customHeight="1" spans="1:5">
      <c r="A542" s="5" t="str">
        <f>"口腔内镜检查"</f>
        <v>口腔内镜检查</v>
      </c>
      <c r="B542" s="3">
        <v>310501011</v>
      </c>
      <c r="C542" s="4">
        <v>12</v>
      </c>
      <c r="D542" s="3" t="str">
        <f>"-"</f>
        <v>-</v>
      </c>
      <c r="E542" s="3" t="str">
        <f t="shared" si="105"/>
        <v>检查费</v>
      </c>
    </row>
    <row r="543" customHeight="1" spans="1:5">
      <c r="A543" s="5" t="str">
        <f>"牙髓活力检查"</f>
        <v>牙髓活力检查</v>
      </c>
      <c r="B543" s="3">
        <v>310502001</v>
      </c>
      <c r="C543" s="4">
        <v>2.4</v>
      </c>
      <c r="D543" s="3" t="str">
        <f>"每牙"</f>
        <v>每牙</v>
      </c>
      <c r="E543" s="3" t="str">
        <f t="shared" si="105"/>
        <v>检查费</v>
      </c>
    </row>
    <row r="544" customHeight="1" spans="1:5">
      <c r="A544" s="5" t="str">
        <f>"根管长度测量"</f>
        <v>根管长度测量</v>
      </c>
      <c r="B544" s="3">
        <v>310502002</v>
      </c>
      <c r="C544" s="4">
        <v>4.8</v>
      </c>
      <c r="D544" s="3" t="str">
        <f>"每根管"</f>
        <v>每根管</v>
      </c>
      <c r="E544" s="3" t="str">
        <f t="shared" si="105"/>
        <v>检查费</v>
      </c>
    </row>
    <row r="545" customHeight="1" spans="1:5">
      <c r="A545" s="5" t="str">
        <f>"口腔X线一次成像(RVG)"</f>
        <v>口腔X线一次成像(RVG)</v>
      </c>
      <c r="B545" s="3">
        <v>310502003</v>
      </c>
      <c r="C545" s="4">
        <v>36</v>
      </c>
      <c r="D545" s="3" t="str">
        <f>"每牙"</f>
        <v>每牙</v>
      </c>
      <c r="E545" s="3" t="str">
        <f>"放射费"</f>
        <v>放射费</v>
      </c>
    </row>
    <row r="546" customHeight="1" spans="1:5">
      <c r="A546" s="5" t="str">
        <f>"龈沟液量测定"</f>
        <v>龈沟液量测定</v>
      </c>
      <c r="B546" s="3">
        <v>310503002</v>
      </c>
      <c r="C546" s="4">
        <v>1.2</v>
      </c>
      <c r="D546" s="3" t="str">
        <f t="shared" ref="D546:D549" si="106">"次"</f>
        <v>次</v>
      </c>
      <c r="E546" s="3" t="str">
        <f t="shared" ref="E546:E549" si="107">"检查费"</f>
        <v>检查费</v>
      </c>
    </row>
    <row r="547" customHeight="1" spans="1:5">
      <c r="A547" s="5" t="str">
        <f>"咬合动度测定"</f>
        <v>咬合动度测定</v>
      </c>
      <c r="B547" s="3">
        <v>310503003</v>
      </c>
      <c r="C547" s="4">
        <v>2.4</v>
      </c>
      <c r="D547" s="3" t="str">
        <f t="shared" si="106"/>
        <v>次</v>
      </c>
      <c r="E547" s="3" t="str">
        <f t="shared" si="107"/>
        <v>检查费</v>
      </c>
    </row>
    <row r="548" customHeight="1" spans="1:5">
      <c r="A548" s="5" t="str">
        <f>"龈上菌斑检查"</f>
        <v>龈上菌斑检查</v>
      </c>
      <c r="B548" s="3">
        <v>310503004</v>
      </c>
      <c r="C548" s="4">
        <v>6</v>
      </c>
      <c r="D548" s="3" t="str">
        <f t="shared" ref="D548:D553" si="108">"-"</f>
        <v>-</v>
      </c>
      <c r="E548" s="3" t="str">
        <f t="shared" si="107"/>
        <v>检查费</v>
      </c>
    </row>
    <row r="549" customHeight="1" spans="1:5">
      <c r="A549" s="5" t="str">
        <f>"测色仪检查"</f>
        <v>测色仪检查</v>
      </c>
      <c r="B549" s="3">
        <v>310508002</v>
      </c>
      <c r="C549" s="4">
        <v>4.8</v>
      </c>
      <c r="D549" s="3" t="str">
        <f t="shared" si="106"/>
        <v>次</v>
      </c>
      <c r="E549" s="3" t="str">
        <f t="shared" si="107"/>
        <v>检查费</v>
      </c>
    </row>
    <row r="550" customHeight="1" spans="1:5">
      <c r="A550" s="5" t="str">
        <f>"调合"</f>
        <v>调合</v>
      </c>
      <c r="B550" s="3">
        <v>310510001</v>
      </c>
      <c r="C550" s="4">
        <v>3.6</v>
      </c>
      <c r="D550" s="3" t="str">
        <f t="shared" ref="D550:D556" si="109">"每牙"</f>
        <v>每牙</v>
      </c>
      <c r="E550" s="3" t="str">
        <f t="shared" ref="E550:E556" si="110">"治疗费"</f>
        <v>治疗费</v>
      </c>
    </row>
    <row r="551" customHeight="1" spans="1:5">
      <c r="A551" s="5" t="str">
        <f>"氟防龋治疗"</f>
        <v>氟防龋治疗</v>
      </c>
      <c r="B551" s="3">
        <v>310510002</v>
      </c>
      <c r="C551" s="4">
        <v>1.2</v>
      </c>
      <c r="D551" s="3" t="str">
        <f t="shared" si="109"/>
        <v>每牙</v>
      </c>
      <c r="E551" s="3" t="str">
        <f t="shared" si="110"/>
        <v>治疗费</v>
      </c>
    </row>
    <row r="552" customHeight="1" spans="1:5">
      <c r="A552" s="5" t="str">
        <f>"牙脱敏治疗"</f>
        <v>牙脱敏治疗</v>
      </c>
      <c r="B552" s="3">
        <v>310510003</v>
      </c>
      <c r="C552" s="4">
        <v>3.6</v>
      </c>
      <c r="D552" s="3" t="str">
        <f t="shared" si="108"/>
        <v>-</v>
      </c>
      <c r="E552" s="3" t="str">
        <f t="shared" si="110"/>
        <v>治疗费</v>
      </c>
    </row>
    <row r="553" customHeight="1" spans="1:5">
      <c r="A553" s="5" t="str">
        <f>"牙脱敏治疗(使用激光脱敏仪)"</f>
        <v>牙脱敏治疗(使用激光脱敏仪)</v>
      </c>
      <c r="B553" s="3" t="str">
        <f>"310510003-a"</f>
        <v>310510003-a</v>
      </c>
      <c r="C553" s="4">
        <v>6</v>
      </c>
      <c r="D553" s="3" t="str">
        <f t="shared" si="108"/>
        <v>-</v>
      </c>
      <c r="E553" s="3" t="str">
        <f t="shared" si="110"/>
        <v>治疗费</v>
      </c>
    </row>
    <row r="554" customHeight="1" spans="1:5">
      <c r="A554" s="5" t="str">
        <f>"不良修复体拆除"</f>
        <v>不良修复体拆除</v>
      </c>
      <c r="B554" s="3">
        <v>310510005</v>
      </c>
      <c r="C554" s="4">
        <v>4.8</v>
      </c>
      <c r="D554" s="3" t="str">
        <f t="shared" si="109"/>
        <v>每牙</v>
      </c>
      <c r="E554" s="3" t="str">
        <f t="shared" si="110"/>
        <v>治疗费</v>
      </c>
    </row>
    <row r="555" customHeight="1" spans="1:5">
      <c r="A555" s="5" t="str">
        <f>"牙开窗助萌术"</f>
        <v>牙开窗助萌术</v>
      </c>
      <c r="B555" s="3">
        <v>310510006</v>
      </c>
      <c r="C555" s="4">
        <v>36</v>
      </c>
      <c r="D555" s="3" t="str">
        <f t="shared" si="109"/>
        <v>每牙</v>
      </c>
      <c r="E555" s="3" t="str">
        <f t="shared" si="110"/>
        <v>治疗费</v>
      </c>
    </row>
    <row r="556" customHeight="1" spans="1:5">
      <c r="A556" s="5" t="str">
        <f>"口腔局部止血"</f>
        <v>口腔局部止血</v>
      </c>
      <c r="B556" s="3">
        <v>310510007</v>
      </c>
      <c r="C556" s="4">
        <v>12</v>
      </c>
      <c r="D556" s="3" t="str">
        <f t="shared" si="109"/>
        <v>每牙</v>
      </c>
      <c r="E556" s="3" t="str">
        <f t="shared" si="110"/>
        <v>治疗费</v>
      </c>
    </row>
    <row r="557" customHeight="1" spans="1:5">
      <c r="A557" s="5" t="str">
        <f>"明胶海绵@"</f>
        <v>明胶海绵@</v>
      </c>
      <c r="B557" s="3" t="str">
        <f>"310510007-2-1"</f>
        <v>310510007-2-1</v>
      </c>
      <c r="C557" s="4">
        <v>4.4</v>
      </c>
      <c r="D557" s="3" t="str">
        <f>"项"</f>
        <v>项</v>
      </c>
      <c r="E557" s="3" t="str">
        <f>"材料费"</f>
        <v>材料费</v>
      </c>
    </row>
    <row r="558" customHeight="1" spans="1:5">
      <c r="A558" s="5" t="str">
        <f>"激光口内治疗"</f>
        <v>激光口内治疗</v>
      </c>
      <c r="B558" s="3">
        <v>310510008</v>
      </c>
      <c r="C558" s="4">
        <v>18</v>
      </c>
      <c r="D558" s="3" t="str">
        <f>"每部位"</f>
        <v>每部位</v>
      </c>
      <c r="E558" s="3" t="str">
        <f t="shared" ref="E558:E561" si="111">"治疗费"</f>
        <v>治疗费</v>
      </c>
    </row>
    <row r="559" customHeight="1" spans="1:5">
      <c r="A559" s="5" t="str">
        <f>"口内脓肿切开引流术"</f>
        <v>口内脓肿切开引流术</v>
      </c>
      <c r="B559" s="3">
        <v>310510009</v>
      </c>
      <c r="C559" s="4">
        <v>9.6</v>
      </c>
      <c r="D559" s="3" t="str">
        <f>"例"</f>
        <v>例</v>
      </c>
      <c r="E559" s="3" t="str">
        <f t="shared" si="111"/>
        <v>治疗费</v>
      </c>
    </row>
    <row r="560" customHeight="1" spans="1:5">
      <c r="A560" s="5" t="str">
        <f>"牙外伤结扎固定术"</f>
        <v>牙外伤结扎固定术</v>
      </c>
      <c r="B560" s="3">
        <v>310510010</v>
      </c>
      <c r="C560" s="4">
        <v>36</v>
      </c>
      <c r="D560" s="3" t="str">
        <f>"-"</f>
        <v>-</v>
      </c>
      <c r="E560" s="3" t="str">
        <f t="shared" si="111"/>
        <v>治疗费</v>
      </c>
    </row>
    <row r="561" customHeight="1" spans="1:5">
      <c r="A561" s="5" t="str">
        <f>"拆除固定装置"</f>
        <v>拆除固定装置</v>
      </c>
      <c r="B561" s="3">
        <v>310510011</v>
      </c>
      <c r="C561" s="4">
        <v>3.6</v>
      </c>
      <c r="D561" s="3" t="str">
        <f>"-"</f>
        <v>-</v>
      </c>
      <c r="E561" s="3" t="str">
        <f t="shared" si="111"/>
        <v>治疗费</v>
      </c>
    </row>
    <row r="562" customHeight="1" spans="1:5">
      <c r="A562" s="5" t="str">
        <f>"牙齿脱敏剂"</f>
        <v>牙齿脱敏剂</v>
      </c>
      <c r="B562" s="3" t="str">
        <f>"31051003-1"</f>
        <v>31051003-1</v>
      </c>
      <c r="C562" s="4">
        <v>71</v>
      </c>
      <c r="D562" s="3" t="str">
        <f>"30g"</f>
        <v>30g</v>
      </c>
      <c r="E562" s="3" t="str">
        <f t="shared" ref="E562:E567" si="112">"材料费"</f>
        <v>材料费</v>
      </c>
    </row>
    <row r="563" customHeight="1" spans="1:5">
      <c r="A563" s="5" t="str">
        <f>"简单充填术"</f>
        <v>简单充填术</v>
      </c>
      <c r="B563" s="3">
        <v>310511001</v>
      </c>
      <c r="C563" s="4">
        <v>14</v>
      </c>
      <c r="D563" s="3" t="str">
        <f t="shared" ref="D563:D568" si="113">"每牙"</f>
        <v>每牙</v>
      </c>
      <c r="E563" s="3" t="str">
        <f t="shared" ref="E563:E566" si="114">"治疗费"</f>
        <v>治疗费</v>
      </c>
    </row>
    <row r="564" customHeight="1" spans="1:5">
      <c r="A564" s="5" t="str">
        <f>"复杂充填术"</f>
        <v>复杂充填术</v>
      </c>
      <c r="B564" s="3">
        <v>310511002</v>
      </c>
      <c r="C564" s="4">
        <v>18</v>
      </c>
      <c r="D564" s="3" t="str">
        <f t="shared" si="113"/>
        <v>每牙</v>
      </c>
      <c r="E564" s="3" t="str">
        <f t="shared" si="114"/>
        <v>治疗费</v>
      </c>
    </row>
    <row r="565" customHeight="1" spans="1:5">
      <c r="A565" s="5" t="str">
        <f>"口腔进口垫底材料（DMG）"</f>
        <v>口腔进口垫底材料（DMG）</v>
      </c>
      <c r="B565" s="3" t="str">
        <f>"310511002-1-4"</f>
        <v>310511002-1-4</v>
      </c>
      <c r="C565" s="4">
        <v>12</v>
      </c>
      <c r="D565" s="3" t="str">
        <f>"10ml/瓶"</f>
        <v>10ml/瓶</v>
      </c>
      <c r="E565" s="3" t="str">
        <f t="shared" si="112"/>
        <v>材料费</v>
      </c>
    </row>
    <row r="566" customHeight="1" spans="1:5">
      <c r="A566" s="5" t="str">
        <f>"牙体桩钉固位修复术"</f>
        <v>牙体桩钉固位修复术</v>
      </c>
      <c r="B566" s="3">
        <v>310511003</v>
      </c>
      <c r="C566" s="4">
        <v>22</v>
      </c>
      <c r="D566" s="3" t="str">
        <f t="shared" ref="D566:D571" si="115">"-"</f>
        <v>-</v>
      </c>
      <c r="E566" s="3" t="str">
        <f t="shared" si="114"/>
        <v>治疗费</v>
      </c>
    </row>
    <row r="567" customHeight="1" spans="1:5">
      <c r="A567" s="5" t="str">
        <f>"3M光固化纳米复合树脂(Z350)"</f>
        <v>3M光固化纳米复合树脂(Z350)</v>
      </c>
      <c r="B567" s="3" t="str">
        <f>"310511003-1"</f>
        <v>310511003-1</v>
      </c>
      <c r="C567" s="4">
        <v>60</v>
      </c>
      <c r="D567" s="3" t="str">
        <f>"4g"</f>
        <v>4g</v>
      </c>
      <c r="E567" s="3" t="str">
        <f t="shared" si="112"/>
        <v>材料费</v>
      </c>
    </row>
    <row r="568" customHeight="1" spans="1:5">
      <c r="A568" s="5" t="str">
        <f>"牙体缺损粘接修复术"</f>
        <v>牙体缺损粘接修复术</v>
      </c>
      <c r="B568" s="3">
        <v>310511004</v>
      </c>
      <c r="C568" s="4">
        <v>22</v>
      </c>
      <c r="D568" s="3" t="str">
        <f t="shared" si="113"/>
        <v>每牙</v>
      </c>
      <c r="E568" s="3" t="str">
        <f t="shared" ref="E568:E577" si="116">"治疗费"</f>
        <v>治疗费</v>
      </c>
    </row>
    <row r="569" customHeight="1" spans="1:5">
      <c r="A569" s="5" t="str">
        <f>"3M自酸蚀粘结剂(捷棒)"</f>
        <v>3M自酸蚀粘结剂(捷棒)</v>
      </c>
      <c r="B569" s="3" t="str">
        <f>"310511004-1-1"</f>
        <v>310511004-1-1</v>
      </c>
      <c r="C569" s="4">
        <v>37</v>
      </c>
      <c r="D569" s="3" t="str">
        <f>"(A液6ml/支+B液2ml/支)/套"</f>
        <v>(A液6ml/支+B液2ml/支)/套</v>
      </c>
      <c r="E569" s="3" t="str">
        <f>"材料费"</f>
        <v>材料费</v>
      </c>
    </row>
    <row r="570" customHeight="1" spans="1:5">
      <c r="A570" s="5" t="str">
        <f>"充填体抛光术"</f>
        <v>充填体抛光术</v>
      </c>
      <c r="B570" s="3">
        <v>310511005</v>
      </c>
      <c r="C570" s="4" t="str">
        <f>"0.6"</f>
        <v>0.6</v>
      </c>
      <c r="D570" s="3" t="str">
        <f t="shared" si="115"/>
        <v>-</v>
      </c>
      <c r="E570" s="3" t="str">
        <f t="shared" si="116"/>
        <v>治疗费</v>
      </c>
    </row>
    <row r="571" customHeight="1" spans="1:5">
      <c r="A571" s="5" t="str">
        <f>"树脂嵌体修复术"</f>
        <v>树脂嵌体修复术</v>
      </c>
      <c r="B571" s="3">
        <v>310511007</v>
      </c>
      <c r="C571" s="4">
        <v>24</v>
      </c>
      <c r="D571" s="3" t="str">
        <f t="shared" si="115"/>
        <v>-</v>
      </c>
      <c r="E571" s="3" t="str">
        <f t="shared" si="116"/>
        <v>治疗费</v>
      </c>
    </row>
    <row r="572" customHeight="1" spans="1:5">
      <c r="A572" s="5" t="str">
        <f>"盖髓术"</f>
        <v>盖髓术</v>
      </c>
      <c r="B572" s="3">
        <v>310511011</v>
      </c>
      <c r="C572" s="4">
        <v>4.8</v>
      </c>
      <c r="D572" s="3" t="str">
        <f t="shared" ref="D572:D575" si="117">"每牙"</f>
        <v>每牙</v>
      </c>
      <c r="E572" s="3" t="str">
        <f t="shared" si="116"/>
        <v>治疗费</v>
      </c>
    </row>
    <row r="573" customHeight="1" spans="1:5">
      <c r="A573" s="5" t="str">
        <f>"牙髓失活术"</f>
        <v>牙髓失活术</v>
      </c>
      <c r="B573" s="3">
        <v>310511012</v>
      </c>
      <c r="C573" s="4">
        <v>24</v>
      </c>
      <c r="D573" s="3" t="str">
        <f t="shared" si="117"/>
        <v>每牙</v>
      </c>
      <c r="E573" s="3" t="str">
        <f t="shared" si="116"/>
        <v>治疗费</v>
      </c>
    </row>
    <row r="574" customHeight="1" spans="1:5">
      <c r="A574" s="5" t="str">
        <f>"开髓引流术"</f>
        <v>开髓引流术</v>
      </c>
      <c r="B574" s="3">
        <v>310511013</v>
      </c>
      <c r="C574" s="4">
        <v>24</v>
      </c>
      <c r="D574" s="3" t="str">
        <f t="shared" si="117"/>
        <v>每牙</v>
      </c>
      <c r="E574" s="3" t="str">
        <f t="shared" si="116"/>
        <v>治疗费</v>
      </c>
    </row>
    <row r="575" customHeight="1" spans="1:5">
      <c r="A575" s="5" t="str">
        <f>"干髓术"</f>
        <v>干髓术</v>
      </c>
      <c r="B575" s="3">
        <v>310511014</v>
      </c>
      <c r="C575" s="4">
        <v>12</v>
      </c>
      <c r="D575" s="3" t="str">
        <f t="shared" si="117"/>
        <v>每牙</v>
      </c>
      <c r="E575" s="3" t="str">
        <f t="shared" si="116"/>
        <v>治疗费</v>
      </c>
    </row>
    <row r="576" customHeight="1" spans="1:5">
      <c r="A576" s="5" t="str">
        <f>"牙髓摘除术"</f>
        <v>牙髓摘除术</v>
      </c>
      <c r="B576" s="3">
        <v>310511015</v>
      </c>
      <c r="C576" s="4">
        <v>12</v>
      </c>
      <c r="D576" s="3" t="str">
        <f t="shared" ref="D576:D581" si="118">"每根管"</f>
        <v>每根管</v>
      </c>
      <c r="E576" s="3" t="str">
        <f t="shared" si="116"/>
        <v>治疗费</v>
      </c>
    </row>
    <row r="577" customHeight="1" spans="1:5">
      <c r="A577" s="5" t="str">
        <f>"根管预备"</f>
        <v>根管预备</v>
      </c>
      <c r="B577" s="3">
        <v>310511016</v>
      </c>
      <c r="C577" s="4">
        <v>30</v>
      </c>
      <c r="D577" s="3" t="str">
        <f t="shared" si="118"/>
        <v>每根管</v>
      </c>
      <c r="E577" s="3" t="str">
        <f t="shared" si="116"/>
        <v>治疗费</v>
      </c>
    </row>
    <row r="578" customHeight="1" spans="1:5">
      <c r="A578" s="5" t="str">
        <f>"牙胶尖"</f>
        <v>牙胶尖</v>
      </c>
      <c r="B578" s="3" t="str">
        <f>"310511017-1-1"</f>
        <v>310511017-1-1</v>
      </c>
      <c r="C578" s="4" t="str">
        <f>"0.5"</f>
        <v>0.5</v>
      </c>
      <c r="D578" s="3" t="str">
        <f>"120支/盒"</f>
        <v>120支/盒</v>
      </c>
      <c r="E578" s="3" t="str">
        <f>"材料费"</f>
        <v>材料费</v>
      </c>
    </row>
    <row r="579" customHeight="1" spans="1:5">
      <c r="A579" s="5" t="str">
        <f>"口腔进口根管充填材料"</f>
        <v>口腔进口根管充填材料</v>
      </c>
      <c r="B579" s="3" t="str">
        <f>"310511017-1-5"</f>
        <v>310511017-1-5</v>
      </c>
      <c r="C579" s="4">
        <v>17</v>
      </c>
      <c r="D579" s="3" t="str">
        <f>"10mg/管"</f>
        <v>10mg/管</v>
      </c>
      <c r="E579" s="3" t="str">
        <f>"材料费"</f>
        <v>材料费</v>
      </c>
    </row>
    <row r="580" customHeight="1" spans="1:5">
      <c r="A580" s="5" t="str">
        <f>"根管充填术（使用特殊仪器）"</f>
        <v>根管充填术（使用特殊仪器）</v>
      </c>
      <c r="B580" s="3" t="str">
        <f>"310511017-a"</f>
        <v>310511017-a</v>
      </c>
      <c r="C580" s="4">
        <v>42</v>
      </c>
      <c r="D580" s="3" t="str">
        <f t="shared" si="118"/>
        <v>每根管</v>
      </c>
      <c r="E580" s="3" t="str">
        <f t="shared" ref="E580:E583" si="119">"治疗费"</f>
        <v>治疗费</v>
      </c>
    </row>
    <row r="581" customHeight="1" spans="1:5">
      <c r="A581" s="5" t="str">
        <f>"髓腔消毒术（使用特殊仪器(微波仪等)）"</f>
        <v>髓腔消毒术（使用特殊仪器(微波仪等)）</v>
      </c>
      <c r="B581" s="3" t="str">
        <f>"310511019-a"</f>
        <v>310511019-a</v>
      </c>
      <c r="C581" s="4">
        <v>18</v>
      </c>
      <c r="D581" s="3" t="str">
        <f t="shared" si="118"/>
        <v>每根管</v>
      </c>
      <c r="E581" s="3" t="str">
        <f t="shared" si="119"/>
        <v>治疗费</v>
      </c>
    </row>
    <row r="582" customHeight="1" spans="1:5">
      <c r="A582" s="5" t="str">
        <f>"牙髓塑化治疗术"</f>
        <v>牙髓塑化治疗术</v>
      </c>
      <c r="B582" s="3">
        <v>310511020</v>
      </c>
      <c r="C582" s="4">
        <v>36</v>
      </c>
      <c r="D582" s="3" t="str">
        <f t="shared" ref="D582:D585" si="120">"-"</f>
        <v>-</v>
      </c>
      <c r="E582" s="3" t="str">
        <f t="shared" si="119"/>
        <v>治疗费</v>
      </c>
    </row>
    <row r="583" customHeight="1" spans="1:5">
      <c r="A583" s="5" t="str">
        <f>"根管再治疗术"</f>
        <v>根管再治疗术</v>
      </c>
      <c r="B583" s="3">
        <v>310511021</v>
      </c>
      <c r="C583" s="4">
        <v>36</v>
      </c>
      <c r="D583" s="3" t="str">
        <f>"每根管"</f>
        <v>每根管</v>
      </c>
      <c r="E583" s="3" t="str">
        <f t="shared" si="119"/>
        <v>治疗费</v>
      </c>
    </row>
    <row r="584" customHeight="1" spans="1:5">
      <c r="A584" s="5" t="str">
        <f>"牙槽骨烧伤清创术"</f>
        <v>牙槽骨烧伤清创术</v>
      </c>
      <c r="B584" s="3">
        <v>310511024</v>
      </c>
      <c r="C584" s="4">
        <v>24</v>
      </c>
      <c r="D584" s="3" t="str">
        <f t="shared" si="120"/>
        <v>-</v>
      </c>
      <c r="E584" s="3" t="str">
        <f>"手术费"</f>
        <v>手术费</v>
      </c>
    </row>
    <row r="585" customHeight="1" spans="1:5">
      <c r="A585" s="5" t="str">
        <f>"根管内固定术"</f>
        <v>根管内固定术</v>
      </c>
      <c r="B585" s="3">
        <v>310511025</v>
      </c>
      <c r="C585" s="4">
        <v>36</v>
      </c>
      <c r="D585" s="3" t="str">
        <f t="shared" si="120"/>
        <v>-</v>
      </c>
      <c r="E585" s="3" t="str">
        <f t="shared" ref="E585:E588" si="121">"治疗费"</f>
        <v>治疗费</v>
      </c>
    </row>
    <row r="586" customHeight="1" spans="1:5">
      <c r="A586" s="5" t="str">
        <f>"劈裂牙治疗"</f>
        <v>劈裂牙治疗</v>
      </c>
      <c r="B586" s="3">
        <v>310511026</v>
      </c>
      <c r="C586" s="4">
        <v>24</v>
      </c>
      <c r="D586" s="3" t="str">
        <f>"每牙"</f>
        <v>每牙</v>
      </c>
      <c r="E586" s="3" t="str">
        <f t="shared" si="121"/>
        <v>治疗费</v>
      </c>
    </row>
    <row r="587" customHeight="1" spans="1:5">
      <c r="A587" s="5" t="str">
        <f>"后牙纵折固定术"</f>
        <v>后牙纵折固定术</v>
      </c>
      <c r="B587" s="3">
        <v>310511027</v>
      </c>
      <c r="C587" s="4">
        <v>7.2</v>
      </c>
      <c r="D587" s="3" t="str">
        <f t="shared" ref="D587:D591" si="122">"-"</f>
        <v>-</v>
      </c>
      <c r="E587" s="3" t="str">
        <f t="shared" si="121"/>
        <v>治疗费</v>
      </c>
    </row>
    <row r="588" customHeight="1" spans="1:5">
      <c r="A588" s="5" t="str">
        <f>"根尖诱导成形术"</f>
        <v>根尖诱导成形术</v>
      </c>
      <c r="B588" s="3">
        <v>310512001</v>
      </c>
      <c r="C588" s="4">
        <v>48</v>
      </c>
      <c r="D588" s="3" t="str">
        <f t="shared" si="122"/>
        <v>-</v>
      </c>
      <c r="E588" s="3" t="str">
        <f t="shared" si="121"/>
        <v>治疗费</v>
      </c>
    </row>
    <row r="589" customHeight="1" spans="1:5">
      <c r="A589" s="5" t="str">
        <f>"口腔进口根尖诱导剂"</f>
        <v>口腔进口根尖诱导剂</v>
      </c>
      <c r="B589" s="3" t="str">
        <f>"310512001-1"</f>
        <v>310512001-1</v>
      </c>
      <c r="C589" s="4">
        <v>35</v>
      </c>
      <c r="D589" s="3" t="str">
        <f>"10mg/管"</f>
        <v>10mg/管</v>
      </c>
      <c r="E589" s="3" t="str">
        <f>"材料费"</f>
        <v>材料费</v>
      </c>
    </row>
    <row r="590" customHeight="1" spans="1:5">
      <c r="A590" s="5" t="str">
        <f>"窝沟封闭"</f>
        <v>窝沟封闭</v>
      </c>
      <c r="B590" s="3">
        <v>310512002</v>
      </c>
      <c r="C590" s="4">
        <v>24</v>
      </c>
      <c r="D590" s="3" t="str">
        <f t="shared" ref="D590:D593" si="123">"每牙"</f>
        <v>每牙</v>
      </c>
      <c r="E590" s="3" t="str">
        <f t="shared" ref="E590:E597" si="124">"治疗费"</f>
        <v>治疗费</v>
      </c>
    </row>
    <row r="591" customHeight="1" spans="1:5">
      <c r="A591" s="5" t="str">
        <f>"活髓切断术"</f>
        <v>活髓切断术</v>
      </c>
      <c r="B591" s="3">
        <v>310512011</v>
      </c>
      <c r="C591" s="4">
        <v>12</v>
      </c>
      <c r="D591" s="3" t="str">
        <f t="shared" si="122"/>
        <v>-</v>
      </c>
      <c r="E591" s="3" t="str">
        <f t="shared" si="124"/>
        <v>治疗费</v>
      </c>
    </row>
    <row r="592" customHeight="1" spans="1:5">
      <c r="A592" s="5" t="str">
        <f>"洁治"</f>
        <v>洁治</v>
      </c>
      <c r="B592" s="3">
        <v>310513001</v>
      </c>
      <c r="C592" s="4">
        <v>2.4</v>
      </c>
      <c r="D592" s="3" t="str">
        <f t="shared" si="123"/>
        <v>每牙</v>
      </c>
      <c r="E592" s="3" t="str">
        <f t="shared" si="124"/>
        <v>治疗费</v>
      </c>
    </row>
    <row r="593" customHeight="1" spans="1:5">
      <c r="A593" s="5" t="str">
        <f>"龈下刮治"</f>
        <v>龈下刮治</v>
      </c>
      <c r="B593" s="3">
        <v>310513002</v>
      </c>
      <c r="C593" s="4">
        <v>2.4</v>
      </c>
      <c r="D593" s="3" t="str">
        <f t="shared" si="123"/>
        <v>每牙</v>
      </c>
      <c r="E593" s="3" t="str">
        <f t="shared" si="124"/>
        <v>治疗费</v>
      </c>
    </row>
    <row r="594" customHeight="1" spans="1:5">
      <c r="A594" s="5" t="str">
        <f>"牙周固定"</f>
        <v>牙周固定</v>
      </c>
      <c r="B594" s="3">
        <v>310513003</v>
      </c>
      <c r="C594" s="4">
        <v>7.2</v>
      </c>
      <c r="D594" s="3" t="str">
        <f t="shared" ref="D594:D598" si="125">"-"</f>
        <v>-</v>
      </c>
      <c r="E594" s="3" t="str">
        <f t="shared" si="124"/>
        <v>治疗费</v>
      </c>
    </row>
    <row r="595" customHeight="1" spans="1:5">
      <c r="A595" s="5" t="str">
        <f>"去除牙周固定"</f>
        <v>去除牙周固定</v>
      </c>
      <c r="B595" s="3">
        <v>310513004</v>
      </c>
      <c r="C595" s="4">
        <v>3.6</v>
      </c>
      <c r="D595" s="3" t="str">
        <f t="shared" si="125"/>
        <v>-</v>
      </c>
      <c r="E595" s="3" t="str">
        <f t="shared" si="124"/>
        <v>治疗费</v>
      </c>
    </row>
    <row r="596" customHeight="1" spans="1:5">
      <c r="A596" s="5" t="str">
        <f>"牙面光洁术"</f>
        <v>牙面光洁术</v>
      </c>
      <c r="B596" s="3">
        <v>310513005</v>
      </c>
      <c r="C596" s="4">
        <v>1.2</v>
      </c>
      <c r="D596" s="3" t="str">
        <f t="shared" si="125"/>
        <v>-</v>
      </c>
      <c r="E596" s="3" t="str">
        <f t="shared" si="124"/>
        <v>治疗费</v>
      </c>
    </row>
    <row r="597" customHeight="1" spans="1:5">
      <c r="A597" s="5" t="str">
        <f>"牙龈保护剂塞治"</f>
        <v>牙龈保护剂塞治</v>
      </c>
      <c r="B597" s="3">
        <v>310513006</v>
      </c>
      <c r="C597" s="4">
        <v>6</v>
      </c>
      <c r="D597" s="3" t="str">
        <f t="shared" si="125"/>
        <v>-</v>
      </c>
      <c r="E597" s="3" t="str">
        <f t="shared" si="124"/>
        <v>治疗费</v>
      </c>
    </row>
    <row r="598" customHeight="1" spans="1:5">
      <c r="A598" s="5" t="str">
        <f>"急性坏死性龈炎局部清创"</f>
        <v>急性坏死性龈炎局部清创</v>
      </c>
      <c r="B598" s="3">
        <v>310513007</v>
      </c>
      <c r="C598" s="4">
        <v>12</v>
      </c>
      <c r="D598" s="3" t="str">
        <f t="shared" si="125"/>
        <v>-</v>
      </c>
      <c r="E598" s="3" t="str">
        <f>"手术费"</f>
        <v>手术费</v>
      </c>
    </row>
    <row r="599" customHeight="1" spans="1:5">
      <c r="A599" s="5" t="str">
        <f>"根面平整术"</f>
        <v>根面平整术</v>
      </c>
      <c r="B599" s="3">
        <v>310513008</v>
      </c>
      <c r="C599" s="4">
        <v>8.4</v>
      </c>
      <c r="D599" s="3" t="str">
        <f>"每牙"</f>
        <v>每牙</v>
      </c>
      <c r="E599" s="3" t="str">
        <f t="shared" ref="E599:E602" si="126">"治疗费"</f>
        <v>治疗费</v>
      </c>
    </row>
    <row r="600" customHeight="1" spans="1:5">
      <c r="A600" s="5" t="str">
        <f>"根面平整术(超声根面平整)"</f>
        <v>根面平整术(超声根面平整)</v>
      </c>
      <c r="B600" s="3" t="str">
        <f>"310513008-a"</f>
        <v>310513008-a</v>
      </c>
      <c r="C600" s="4">
        <v>12</v>
      </c>
      <c r="D600" s="3" t="str">
        <f>"-"</f>
        <v>-</v>
      </c>
      <c r="E600" s="3" t="str">
        <f t="shared" si="126"/>
        <v>治疗费</v>
      </c>
    </row>
    <row r="601" customHeight="1" spans="1:5">
      <c r="A601" s="5" t="str">
        <f>"口腔粘膜雾化治疗"</f>
        <v>口腔粘膜雾化治疗</v>
      </c>
      <c r="B601" s="3">
        <v>310514002</v>
      </c>
      <c r="C601" s="4">
        <v>6</v>
      </c>
      <c r="D601" s="3" t="str">
        <f t="shared" ref="D601:D605" si="127">"次"</f>
        <v>次</v>
      </c>
      <c r="E601" s="3" t="str">
        <f t="shared" si="126"/>
        <v>治疗费</v>
      </c>
    </row>
    <row r="602" customHeight="1" spans="1:5">
      <c r="A602" s="5" t="str">
        <f>"口腔粘膜病特殊治疗（红外线治疗、微波、冷冻、频谱等法）"</f>
        <v>口腔粘膜病特殊治疗（红外线治疗、微波、冷冻、频谱等法）</v>
      </c>
      <c r="B602" s="3">
        <v>310514003</v>
      </c>
      <c r="C602" s="4">
        <v>6</v>
      </c>
      <c r="D602" s="3" t="str">
        <f t="shared" si="127"/>
        <v>次</v>
      </c>
      <c r="E602" s="3" t="str">
        <f t="shared" si="126"/>
        <v>治疗费</v>
      </c>
    </row>
    <row r="603" customHeight="1" spans="1:5">
      <c r="A603" s="5" t="str">
        <f>"活性银离子抗菌液III型"</f>
        <v>活性银离子抗菌液III型</v>
      </c>
      <c r="B603" s="3" t="str">
        <f>"310514003-1"</f>
        <v>310514003-1</v>
      </c>
      <c r="C603" s="4">
        <v>47</v>
      </c>
      <c r="D603" s="3" t="str">
        <f>"250ml"</f>
        <v>250ml</v>
      </c>
      <c r="E603" s="3" t="str">
        <f>"材料费"</f>
        <v>材料费</v>
      </c>
    </row>
    <row r="604" customHeight="1" spans="1:5">
      <c r="A604" s="5" t="str">
        <f>"颞下颌关节复位术"</f>
        <v>颞下颌关节复位术</v>
      </c>
      <c r="B604" s="3">
        <v>310515001</v>
      </c>
      <c r="C604" s="4">
        <v>42</v>
      </c>
      <c r="D604" s="3">
        <v>1</v>
      </c>
      <c r="E604" s="3" t="str">
        <f t="shared" ref="E604:E651" si="128">"治疗费"</f>
        <v>治疗费</v>
      </c>
    </row>
    <row r="605" customHeight="1" spans="1:5">
      <c r="A605" s="5" t="str">
        <f>"冠周炎局部治疗"</f>
        <v>冠周炎局部治疗</v>
      </c>
      <c r="B605" s="3">
        <v>310515002</v>
      </c>
      <c r="C605" s="4">
        <v>9.6</v>
      </c>
      <c r="D605" s="3" t="str">
        <f t="shared" si="127"/>
        <v>次</v>
      </c>
      <c r="E605" s="3" t="str">
        <f t="shared" si="128"/>
        <v>治疗费</v>
      </c>
    </row>
    <row r="606" customHeight="1" spans="1:5">
      <c r="A606" s="5" t="str">
        <f>"干槽症换药"</f>
        <v>干槽症换药</v>
      </c>
      <c r="B606" s="3">
        <v>310515003</v>
      </c>
      <c r="C606" s="4">
        <v>17</v>
      </c>
      <c r="D606" s="3" t="str">
        <f>"-"</f>
        <v>-</v>
      </c>
      <c r="E606" s="3" t="str">
        <f t="shared" si="128"/>
        <v>治疗费</v>
      </c>
    </row>
    <row r="607" customHeight="1" spans="1:5">
      <c r="A607" s="5" t="str">
        <f>"口腔颌面部各类冷冻治疗"</f>
        <v>口腔颌面部各类冷冻治疗</v>
      </c>
      <c r="B607" s="3">
        <v>310515008</v>
      </c>
      <c r="C607" s="4">
        <v>30</v>
      </c>
      <c r="D607" s="3" t="str">
        <f>"每部位"</f>
        <v>每部位</v>
      </c>
      <c r="E607" s="3" t="str">
        <f t="shared" si="128"/>
        <v>治疗费</v>
      </c>
    </row>
    <row r="608" customHeight="1" spans="1:5">
      <c r="A608" s="5" t="str">
        <f>"调磨合(代)垫"</f>
        <v>调磨合(代)垫</v>
      </c>
      <c r="B608" s="3">
        <v>310516003</v>
      </c>
      <c r="C608" s="4">
        <v>6</v>
      </c>
      <c r="D608" s="3">
        <v>1</v>
      </c>
      <c r="E608" s="3" t="str">
        <f t="shared" si="128"/>
        <v>治疗费</v>
      </c>
    </row>
    <row r="609" customHeight="1" spans="1:5">
      <c r="A609" s="5" t="str">
        <f>"冠修复"</f>
        <v>冠修复</v>
      </c>
      <c r="B609" s="3">
        <v>310517001</v>
      </c>
      <c r="C609" s="4">
        <v>96</v>
      </c>
      <c r="D609" s="3" t="str">
        <f t="shared" ref="D609:D614" si="129">"每牙"</f>
        <v>每牙</v>
      </c>
      <c r="E609" s="3" t="str">
        <f t="shared" si="128"/>
        <v>治疗费</v>
      </c>
    </row>
    <row r="610" customHeight="1" spans="1:5">
      <c r="A610" s="5" t="str">
        <f>"冠修复（种植体冠）"</f>
        <v>冠修复（种植体冠）</v>
      </c>
      <c r="B610" s="3" t="str">
        <f>"310517001-a"</f>
        <v>310517001-a</v>
      </c>
      <c r="C610" s="4">
        <v>120</v>
      </c>
      <c r="D610" s="3">
        <v>1</v>
      </c>
      <c r="E610" s="3" t="str">
        <f t="shared" si="128"/>
        <v>治疗费</v>
      </c>
    </row>
    <row r="611" customHeight="1" spans="1:5">
      <c r="A611" s="5" t="str">
        <f>"冠修复(烤塑冠、塑胶冠)"</f>
        <v>冠修复(烤塑冠、塑胶冠)</v>
      </c>
      <c r="B611" s="3" t="str">
        <f>"310517001-b"</f>
        <v>310517001-b</v>
      </c>
      <c r="C611" s="4">
        <v>48</v>
      </c>
      <c r="D611" s="3" t="str">
        <f>"-"</f>
        <v>-</v>
      </c>
      <c r="E611" s="3" t="str">
        <f t="shared" si="128"/>
        <v>治疗费</v>
      </c>
    </row>
    <row r="612" customHeight="1" spans="1:5">
      <c r="A612" s="5" t="str">
        <f>"嵌体修复"</f>
        <v>嵌体修复</v>
      </c>
      <c r="B612" s="3">
        <v>310517002</v>
      </c>
      <c r="C612" s="4">
        <v>144</v>
      </c>
      <c r="D612" s="3" t="str">
        <f t="shared" si="129"/>
        <v>每牙</v>
      </c>
      <c r="E612" s="3" t="str">
        <f t="shared" si="128"/>
        <v>治疗费</v>
      </c>
    </row>
    <row r="613" customHeight="1" spans="1:5">
      <c r="A613" s="5" t="str">
        <f>"桩核根帽修复"</f>
        <v>桩核根帽修复</v>
      </c>
      <c r="B613" s="3">
        <v>310517003</v>
      </c>
      <c r="C613" s="4">
        <v>96</v>
      </c>
      <c r="D613" s="3" t="str">
        <f t="shared" si="129"/>
        <v>每牙</v>
      </c>
      <c r="E613" s="3" t="str">
        <f t="shared" si="128"/>
        <v>治疗费</v>
      </c>
    </row>
    <row r="614" customHeight="1" spans="1:5">
      <c r="A614" s="5" t="str">
        <f>"固定桥"</f>
        <v>固定桥</v>
      </c>
      <c r="B614" s="3">
        <v>310517006</v>
      </c>
      <c r="C614" s="4">
        <v>120</v>
      </c>
      <c r="D614" s="3" t="str">
        <f t="shared" si="129"/>
        <v>每牙</v>
      </c>
      <c r="E614" s="3" t="str">
        <f t="shared" si="128"/>
        <v>治疗费</v>
      </c>
    </row>
    <row r="615" customHeight="1" spans="1:5">
      <c r="A615" s="5" t="str">
        <f>"咬合重建"</f>
        <v>咬合重建</v>
      </c>
      <c r="B615" s="3">
        <v>310517008</v>
      </c>
      <c r="C615" s="4">
        <v>96</v>
      </c>
      <c r="D615" s="3" t="str">
        <f>"次"</f>
        <v>次</v>
      </c>
      <c r="E615" s="3" t="str">
        <f t="shared" si="128"/>
        <v>治疗费</v>
      </c>
    </row>
    <row r="616" customHeight="1" spans="1:5">
      <c r="A616" s="5" t="str">
        <f>"复杂冠桥修复"</f>
        <v>复杂冠桥修复</v>
      </c>
      <c r="B616" s="3" t="str">
        <f>"310517008-1"</f>
        <v>310517008-1</v>
      </c>
      <c r="C616" s="4">
        <v>96</v>
      </c>
      <c r="D616" s="3" t="str">
        <f>"项"</f>
        <v>项</v>
      </c>
      <c r="E616" s="3" t="str">
        <f t="shared" si="128"/>
        <v>治疗费</v>
      </c>
    </row>
    <row r="617" customHeight="1" spans="1:5">
      <c r="A617" s="5" t="str">
        <f>"咬合重建特殊设计费加收"</f>
        <v>咬合重建特殊设计费加收</v>
      </c>
      <c r="B617" s="3" t="str">
        <f>"310517008-a"</f>
        <v>310517008-a</v>
      </c>
      <c r="C617" s="4">
        <v>30</v>
      </c>
      <c r="D617" s="3" t="str">
        <f>"次"</f>
        <v>次</v>
      </c>
      <c r="E617" s="3" t="str">
        <f t="shared" si="128"/>
        <v>治疗费</v>
      </c>
    </row>
    <row r="618" customHeight="1" spans="1:5">
      <c r="A618" s="5" t="str">
        <f>"粘结"</f>
        <v>粘结</v>
      </c>
      <c r="B618" s="3">
        <v>310517009</v>
      </c>
      <c r="C618" s="4">
        <v>3.6</v>
      </c>
      <c r="D618" s="3" t="str">
        <f>"牙"</f>
        <v>牙</v>
      </c>
      <c r="E618" s="3" t="str">
        <f t="shared" si="128"/>
        <v>治疗费</v>
      </c>
    </row>
    <row r="619" customHeight="1" spans="1:5">
      <c r="A619" s="5" t="str">
        <f>"活动桥"</f>
        <v>活动桥</v>
      </c>
      <c r="B619" s="3">
        <v>310518001</v>
      </c>
      <c r="C619" s="4">
        <v>60</v>
      </c>
      <c r="D619" s="3" t="str">
        <f t="shared" ref="D619:D622" si="130">"每牙"</f>
        <v>每牙</v>
      </c>
      <c r="E619" s="3" t="str">
        <f t="shared" si="128"/>
        <v>治疗费</v>
      </c>
    </row>
    <row r="620" customHeight="1" spans="1:5">
      <c r="A620" s="5" t="str">
        <f>"活动桥每增加牙、卡环加收"</f>
        <v>活动桥每增加牙、卡环加收</v>
      </c>
      <c r="B620" s="3" t="str">
        <f>"310518001-a"</f>
        <v>310518001-a</v>
      </c>
      <c r="C620" s="4">
        <v>24</v>
      </c>
      <c r="D620" s="3" t="str">
        <f t="shared" si="130"/>
        <v>每牙</v>
      </c>
      <c r="E620" s="3" t="str">
        <f t="shared" si="128"/>
        <v>治疗费</v>
      </c>
    </row>
    <row r="621" customHeight="1" spans="1:5">
      <c r="A621" s="5" t="str">
        <f>"塑料可摘局部义齿"</f>
        <v>塑料可摘局部义齿</v>
      </c>
      <c r="B621" s="3">
        <v>310518002</v>
      </c>
      <c r="C621" s="4">
        <v>96</v>
      </c>
      <c r="D621" s="3" t="str">
        <f t="shared" si="130"/>
        <v>每牙</v>
      </c>
      <c r="E621" s="3" t="str">
        <f t="shared" si="128"/>
        <v>治疗费</v>
      </c>
    </row>
    <row r="622" customHeight="1" spans="1:5">
      <c r="A622" s="5" t="str">
        <f>"铸造可摘局部义齿"</f>
        <v>铸造可摘局部义齿</v>
      </c>
      <c r="B622" s="3">
        <v>310518003</v>
      </c>
      <c r="C622" s="4">
        <v>240</v>
      </c>
      <c r="D622" s="3" t="str">
        <f t="shared" si="130"/>
        <v>每牙</v>
      </c>
      <c r="E622" s="3" t="str">
        <f t="shared" si="128"/>
        <v>治疗费</v>
      </c>
    </row>
    <row r="623" customHeight="1" spans="1:5">
      <c r="A623" s="5" t="str">
        <f>"美容义齿（铸瓷全冠）"</f>
        <v>美容义齿（铸瓷全冠）</v>
      </c>
      <c r="B623" s="3" t="str">
        <f>"310518004-1"</f>
        <v>310518004-1</v>
      </c>
      <c r="C623" s="4">
        <v>1800</v>
      </c>
      <c r="D623" s="3" t="str">
        <f t="shared" ref="D623:D633" si="131">"/"</f>
        <v>/</v>
      </c>
      <c r="E623" s="3" t="str">
        <f t="shared" si="128"/>
        <v>治疗费</v>
      </c>
    </row>
    <row r="624" customHeight="1" spans="1:5">
      <c r="A624" s="5" t="str">
        <f>"美容义齿（纯钛金属冠）"</f>
        <v>美容义齿（纯钛金属冠）</v>
      </c>
      <c r="B624" s="3" t="str">
        <f>"310518004-10"</f>
        <v>310518004-10</v>
      </c>
      <c r="C624" s="4">
        <v>1000</v>
      </c>
      <c r="D624" s="3" t="str">
        <f t="shared" si="131"/>
        <v>/</v>
      </c>
      <c r="E624" s="3" t="str">
        <f t="shared" si="128"/>
        <v>治疗费</v>
      </c>
    </row>
    <row r="625" customHeight="1" spans="1:5">
      <c r="A625" s="5" t="str">
        <f>"美容义齿(四层色美容修复总义齿(纯钛腭板))"</f>
        <v>美容义齿(四层色美容修复总义齿(纯钛腭板))</v>
      </c>
      <c r="B625" s="3" t="str">
        <f>"310518004-11"</f>
        <v>310518004-11</v>
      </c>
      <c r="C625" s="4">
        <v>750</v>
      </c>
      <c r="D625" s="3" t="str">
        <f t="shared" si="131"/>
        <v>/</v>
      </c>
      <c r="E625" s="3" t="str">
        <f t="shared" si="128"/>
        <v>治疗费</v>
      </c>
    </row>
    <row r="626" customHeight="1" spans="1:5">
      <c r="A626" s="5" t="str">
        <f>"美容义齿（纯钛中支架）"</f>
        <v>美容义齿（纯钛中支架）</v>
      </c>
      <c r="B626" s="3" t="str">
        <f>"310518004-2"</f>
        <v>310518004-2</v>
      </c>
      <c r="C626" s="4">
        <v>2000</v>
      </c>
      <c r="D626" s="3" t="str">
        <f t="shared" si="131"/>
        <v>/</v>
      </c>
      <c r="E626" s="3" t="str">
        <f t="shared" si="128"/>
        <v>治疗费</v>
      </c>
    </row>
    <row r="627" customHeight="1" spans="1:5">
      <c r="A627" s="5" t="str">
        <f>"美容义齿(四层色美容修复总义齿)"</f>
        <v>美容义齿(四层色美容修复总义齿)</v>
      </c>
      <c r="B627" s="3" t="str">
        <f>"310518004-3"</f>
        <v>310518004-3</v>
      </c>
      <c r="C627" s="4">
        <v>2500</v>
      </c>
      <c r="D627" s="3" t="str">
        <f t="shared" si="131"/>
        <v>/</v>
      </c>
      <c r="E627" s="3" t="str">
        <f t="shared" si="128"/>
        <v>治疗费</v>
      </c>
    </row>
    <row r="628" customHeight="1" spans="1:5">
      <c r="A628" s="5" t="str">
        <f>"美容义齿（计算机全瓷）"</f>
        <v>美容义齿（计算机全瓷）</v>
      </c>
      <c r="B628" s="3" t="str">
        <f>"310518004-4"</f>
        <v>310518004-4</v>
      </c>
      <c r="C628" s="4">
        <v>3800</v>
      </c>
      <c r="D628" s="3" t="str">
        <f t="shared" si="131"/>
        <v>/</v>
      </c>
      <c r="E628" s="3" t="str">
        <f t="shared" si="128"/>
        <v>治疗费</v>
      </c>
    </row>
    <row r="629" customHeight="1" spans="1:5">
      <c r="A629" s="5" t="str">
        <f>"美容义齿(隐形义齿增加一牙加收)"</f>
        <v>美容义齿(隐形义齿增加一牙加收)</v>
      </c>
      <c r="B629" s="3" t="str">
        <f>"310518004-5"</f>
        <v>310518004-5</v>
      </c>
      <c r="C629" s="4">
        <v>50</v>
      </c>
      <c r="D629" s="3" t="str">
        <f t="shared" si="131"/>
        <v>/</v>
      </c>
      <c r="E629" s="3" t="str">
        <f t="shared" si="128"/>
        <v>治疗费</v>
      </c>
    </row>
    <row r="630" customHeight="1" spans="1:5">
      <c r="A630" s="5" t="str">
        <f>"美容义齿（纯钛烤瓷冠）"</f>
        <v>美容义齿（纯钛烤瓷冠）</v>
      </c>
      <c r="B630" s="3" t="str">
        <f>"310518004-6"</f>
        <v>310518004-6</v>
      </c>
      <c r="C630" s="4">
        <v>1500</v>
      </c>
      <c r="D630" s="3" t="str">
        <f t="shared" si="131"/>
        <v>/</v>
      </c>
      <c r="E630" s="3" t="str">
        <f t="shared" si="128"/>
        <v>治疗费</v>
      </c>
    </row>
    <row r="631" customHeight="1" spans="1:5">
      <c r="A631" s="5" t="str">
        <f>"美容义齿（贱金属烧烤瓷冠）"</f>
        <v>美容义齿（贱金属烧烤瓷冠）</v>
      </c>
      <c r="B631" s="3" t="str">
        <f>"310518004-7"</f>
        <v>310518004-7</v>
      </c>
      <c r="C631" s="4">
        <v>400</v>
      </c>
      <c r="D631" s="3" t="str">
        <f t="shared" si="131"/>
        <v>/</v>
      </c>
      <c r="E631" s="3" t="str">
        <f t="shared" si="128"/>
        <v>治疗费</v>
      </c>
    </row>
    <row r="632" customHeight="1" spans="1:5">
      <c r="A632" s="5" t="str">
        <f>"美容义齿(隐形义齿)"</f>
        <v>美容义齿(隐形义齿)</v>
      </c>
      <c r="B632" s="3" t="str">
        <f>"310518004-8"</f>
        <v>310518004-8</v>
      </c>
      <c r="C632" s="4">
        <v>350</v>
      </c>
      <c r="D632" s="3" t="str">
        <f t="shared" si="131"/>
        <v>/</v>
      </c>
      <c r="E632" s="3" t="str">
        <f t="shared" si="128"/>
        <v>治疗费</v>
      </c>
    </row>
    <row r="633" customHeight="1" spans="1:5">
      <c r="A633" s="5" t="str">
        <f>"美容义齿（纯钛大支架）"</f>
        <v>美容义齿（纯钛大支架）</v>
      </c>
      <c r="B633" s="3" t="str">
        <f>"310518004-9"</f>
        <v>310518004-9</v>
      </c>
      <c r="C633" s="4">
        <v>3500</v>
      </c>
      <c r="D633" s="3" t="str">
        <f t="shared" si="131"/>
        <v>/</v>
      </c>
      <c r="E633" s="3" t="str">
        <f t="shared" si="128"/>
        <v>治疗费</v>
      </c>
    </row>
    <row r="634" customHeight="1" spans="1:5">
      <c r="A634" s="5" t="str">
        <f>"即刻义齿"</f>
        <v>即刻义齿</v>
      </c>
      <c r="B634" s="3">
        <v>310518005</v>
      </c>
      <c r="C634" s="4">
        <v>19</v>
      </c>
      <c r="D634" s="3" t="str">
        <f t="shared" ref="D634:D641" si="132">"-"</f>
        <v>-</v>
      </c>
      <c r="E634" s="3" t="str">
        <f t="shared" si="128"/>
        <v>治疗费</v>
      </c>
    </row>
    <row r="635" customHeight="1" spans="1:5">
      <c r="A635" s="5" t="str">
        <f>"附着体义齿"</f>
        <v>附着体义齿</v>
      </c>
      <c r="B635" s="3">
        <v>310518006</v>
      </c>
      <c r="C635" s="4">
        <v>180</v>
      </c>
      <c r="D635" s="3" t="str">
        <f t="shared" si="132"/>
        <v>-</v>
      </c>
      <c r="E635" s="3" t="str">
        <f t="shared" si="128"/>
        <v>治疗费</v>
      </c>
    </row>
    <row r="636" customHeight="1" spans="1:5">
      <c r="A636" s="5" t="str">
        <f>"总义齿"</f>
        <v>总义齿</v>
      </c>
      <c r="B636" s="3">
        <v>310518007</v>
      </c>
      <c r="C636" s="4">
        <v>360</v>
      </c>
      <c r="D636" s="3">
        <v>1</v>
      </c>
      <c r="E636" s="3" t="str">
        <f t="shared" si="128"/>
        <v>治疗费</v>
      </c>
    </row>
    <row r="637" customHeight="1" spans="1:5">
      <c r="A637" s="5" t="str">
        <f>"拆冠桥（锤造冠）"</f>
        <v>拆冠桥（锤造冠）</v>
      </c>
      <c r="B637" s="3">
        <v>310519001</v>
      </c>
      <c r="C637" s="4">
        <v>12</v>
      </c>
      <c r="D637" s="3" t="str">
        <f>"每牙"</f>
        <v>每牙</v>
      </c>
      <c r="E637" s="3" t="str">
        <f t="shared" si="128"/>
        <v>治疗费</v>
      </c>
    </row>
    <row r="638" customHeight="1" spans="1:5">
      <c r="A638" s="5" t="str">
        <f>"拆冠桥（铸造冠）"</f>
        <v>拆冠桥（铸造冠）</v>
      </c>
      <c r="B638" s="3" t="str">
        <f>"310519001-a"</f>
        <v>310519001-a</v>
      </c>
      <c r="C638" s="4">
        <v>18</v>
      </c>
      <c r="D638" s="3" t="str">
        <f>"每牙"</f>
        <v>每牙</v>
      </c>
      <c r="E638" s="3" t="str">
        <f t="shared" si="128"/>
        <v>治疗费</v>
      </c>
    </row>
    <row r="639" customHeight="1" spans="1:5">
      <c r="A639" s="5" t="str">
        <f>"拆桩"</f>
        <v>拆桩</v>
      </c>
      <c r="B639" s="3">
        <v>310519002</v>
      </c>
      <c r="C639" s="4">
        <v>12</v>
      </c>
      <c r="D639" s="3" t="str">
        <f t="shared" si="132"/>
        <v>-</v>
      </c>
      <c r="E639" s="3" t="str">
        <f t="shared" si="128"/>
        <v>治疗费</v>
      </c>
    </row>
    <row r="640" customHeight="1" spans="1:5">
      <c r="A640" s="5" t="str">
        <f>"烤瓷冠崩瓷修理"</f>
        <v>烤瓷冠崩瓷修理</v>
      </c>
      <c r="B640" s="3">
        <v>310519005</v>
      </c>
      <c r="C640" s="4">
        <v>14</v>
      </c>
      <c r="D640" s="3" t="str">
        <f t="shared" si="132"/>
        <v>-</v>
      </c>
      <c r="E640" s="3" t="str">
        <f t="shared" si="128"/>
        <v>治疗费</v>
      </c>
    </row>
    <row r="641" customHeight="1" spans="1:5">
      <c r="A641" s="5" t="str">
        <f>"调改义齿"</f>
        <v>调改义齿</v>
      </c>
      <c r="B641" s="3">
        <v>310519006</v>
      </c>
      <c r="C641" s="4">
        <v>3.6</v>
      </c>
      <c r="D641" s="3" t="str">
        <f t="shared" si="132"/>
        <v>-</v>
      </c>
      <c r="E641" s="3" t="str">
        <f t="shared" si="128"/>
        <v>治疗费</v>
      </c>
    </row>
    <row r="642" customHeight="1" spans="1:5">
      <c r="A642" s="5" t="str">
        <f>"取局部关系记录"</f>
        <v>取局部关系记录</v>
      </c>
      <c r="B642" s="3">
        <v>310519007</v>
      </c>
      <c r="C642" s="4">
        <v>12</v>
      </c>
      <c r="D642" s="3" t="str">
        <f t="shared" ref="D642:D646" si="133">"次"</f>
        <v>次</v>
      </c>
      <c r="E642" s="3" t="str">
        <f t="shared" si="128"/>
        <v>治疗费</v>
      </c>
    </row>
    <row r="643" customHeight="1" spans="1:5">
      <c r="A643" s="5" t="str">
        <f>"取正中关系记录"</f>
        <v>取正中关系记录</v>
      </c>
      <c r="B643" s="3">
        <v>310519008</v>
      </c>
      <c r="C643" s="4">
        <v>36</v>
      </c>
      <c r="D643" s="3" t="str">
        <f t="shared" si="133"/>
        <v>次</v>
      </c>
      <c r="E643" s="3" t="str">
        <f t="shared" si="128"/>
        <v>治疗费</v>
      </c>
    </row>
    <row r="644" customHeight="1" spans="1:5">
      <c r="A644" s="5" t="str">
        <f>"加人工牙"</f>
        <v>加人工牙</v>
      </c>
      <c r="B644" s="3">
        <v>310519009</v>
      </c>
      <c r="C644" s="4">
        <v>18</v>
      </c>
      <c r="D644" s="3" t="str">
        <f t="shared" ref="D644:D648" si="134">"-"</f>
        <v>-</v>
      </c>
      <c r="E644" s="3" t="str">
        <f t="shared" si="128"/>
        <v>治疗费</v>
      </c>
    </row>
    <row r="645" customHeight="1" spans="1:5">
      <c r="A645" s="5" t="str">
        <f>"义齿接长基托"</f>
        <v>义齿接长基托</v>
      </c>
      <c r="B645" s="3">
        <v>310519010</v>
      </c>
      <c r="C645" s="4">
        <v>12</v>
      </c>
      <c r="D645" s="3" t="str">
        <f t="shared" si="134"/>
        <v>-</v>
      </c>
      <c r="E645" s="3" t="str">
        <f t="shared" si="128"/>
        <v>治疗费</v>
      </c>
    </row>
    <row r="646" customHeight="1" spans="1:5">
      <c r="A646" s="5" t="str">
        <f>"义齿裂纹及折裂修理"</f>
        <v>义齿裂纹及折裂修理</v>
      </c>
      <c r="B646" s="3">
        <v>310519011</v>
      </c>
      <c r="C646" s="4">
        <v>24</v>
      </c>
      <c r="D646" s="3" t="str">
        <f t="shared" si="133"/>
        <v>次</v>
      </c>
      <c r="E646" s="3" t="str">
        <f t="shared" si="128"/>
        <v>治疗费</v>
      </c>
    </row>
    <row r="647" customHeight="1" spans="1:5">
      <c r="A647" s="5" t="str">
        <f>"义齿组织面重衬"</f>
        <v>义齿组织面重衬</v>
      </c>
      <c r="B647" s="3">
        <v>310519012</v>
      </c>
      <c r="C647" s="4">
        <v>6</v>
      </c>
      <c r="D647" s="3" t="str">
        <f>"厘米"</f>
        <v>厘米</v>
      </c>
      <c r="E647" s="3" t="str">
        <f t="shared" si="128"/>
        <v>治疗费</v>
      </c>
    </row>
    <row r="648" customHeight="1" spans="1:5">
      <c r="A648" s="5" t="str">
        <f>"加卡环"</f>
        <v>加卡环</v>
      </c>
      <c r="B648" s="3">
        <v>310519013</v>
      </c>
      <c r="C648" s="4">
        <v>12</v>
      </c>
      <c r="D648" s="3" t="str">
        <f t="shared" si="134"/>
        <v>-</v>
      </c>
      <c r="E648" s="3" t="str">
        <f t="shared" si="128"/>
        <v>治疗费</v>
      </c>
    </row>
    <row r="649" customHeight="1" spans="1:5">
      <c r="A649" s="5" t="str">
        <f>"增加铸造基托"</f>
        <v>增加铸造基托</v>
      </c>
      <c r="B649" s="3">
        <v>310519014</v>
      </c>
      <c r="C649" s="4">
        <v>26</v>
      </c>
      <c r="D649" s="3" t="str">
        <f>"5＋5"</f>
        <v>5＋5</v>
      </c>
      <c r="E649" s="3" t="str">
        <f t="shared" si="128"/>
        <v>治疗费</v>
      </c>
    </row>
    <row r="650" customHeight="1" spans="1:5">
      <c r="A650" s="5" t="str">
        <f>"加合(代)颌支托"</f>
        <v>加合(代)颌支托</v>
      </c>
      <c r="B650" s="3">
        <v>310519015</v>
      </c>
      <c r="C650" s="4">
        <v>18</v>
      </c>
      <c r="D650" s="3">
        <v>1</v>
      </c>
      <c r="E650" s="3" t="str">
        <f t="shared" si="128"/>
        <v>治疗费</v>
      </c>
    </row>
    <row r="651" customHeight="1" spans="1:5">
      <c r="A651" s="5" t="str">
        <f>"合（代）垫"</f>
        <v>合（代）垫</v>
      </c>
      <c r="B651" s="3">
        <v>310520001</v>
      </c>
      <c r="C651" s="4">
        <v>144</v>
      </c>
      <c r="D651" s="3" t="str">
        <f>"件"</f>
        <v>件</v>
      </c>
      <c r="E651" s="3" t="str">
        <f t="shared" si="128"/>
        <v>治疗费</v>
      </c>
    </row>
    <row r="652" customHeight="1" spans="1:5">
      <c r="A652" s="5" t="str">
        <f>"肺通气功能检查"</f>
        <v>肺通气功能检查</v>
      </c>
      <c r="B652" s="3">
        <v>310601001</v>
      </c>
      <c r="C652" s="4">
        <v>39</v>
      </c>
      <c r="D652" s="3" t="str">
        <f>"/"</f>
        <v>/</v>
      </c>
      <c r="E652" s="3" t="str">
        <f t="shared" ref="E652:E655" si="135">"检查费"</f>
        <v>检查费</v>
      </c>
    </row>
    <row r="653" customHeight="1" spans="1:5">
      <c r="A653" s="5" t="str">
        <f>"肺通气功能检查(含最大通气量)"</f>
        <v>肺通气功能检查(含最大通气量)</v>
      </c>
      <c r="B653" s="3" t="str">
        <f>"310601001-a"</f>
        <v>310601001-a</v>
      </c>
      <c r="C653" s="4">
        <v>117</v>
      </c>
      <c r="D653" s="3" t="str">
        <f t="shared" ref="D653:D662" si="136">"次"</f>
        <v>次</v>
      </c>
      <c r="E653" s="3" t="str">
        <f t="shared" si="135"/>
        <v>检查费</v>
      </c>
    </row>
    <row r="654" customHeight="1" spans="1:5">
      <c r="A654" s="5" t="str">
        <f>"流速容量曲线（V-V)"</f>
        <v>流速容量曲线（V-V)</v>
      </c>
      <c r="B654" s="3">
        <v>310601008</v>
      </c>
      <c r="C654" s="4">
        <v>117</v>
      </c>
      <c r="D654" s="3" t="str">
        <f>"项"</f>
        <v>项</v>
      </c>
      <c r="E654" s="3" t="str">
        <f t="shared" si="135"/>
        <v>检查费</v>
      </c>
    </row>
    <row r="655" customHeight="1" spans="1:5">
      <c r="A655" s="5" t="str">
        <f>"支气管舒张试验"</f>
        <v>支气管舒张试验</v>
      </c>
      <c r="B655" s="3">
        <v>310601012</v>
      </c>
      <c r="C655" s="4">
        <v>104</v>
      </c>
      <c r="D655" s="3" t="str">
        <f>"项"</f>
        <v>项</v>
      </c>
      <c r="E655" s="3" t="str">
        <f t="shared" si="135"/>
        <v>检查费</v>
      </c>
    </row>
    <row r="656" customHeight="1" spans="1:5">
      <c r="A656" s="5" t="str">
        <f>"呼吸机辅助呼吸"</f>
        <v>呼吸机辅助呼吸</v>
      </c>
      <c r="B656" s="3">
        <v>310603001</v>
      </c>
      <c r="C656" s="4">
        <v>20</v>
      </c>
      <c r="D656" s="3" t="str">
        <f>"小时"</f>
        <v>小时</v>
      </c>
      <c r="E656" s="3" t="str">
        <f t="shared" ref="E656:E658" si="137">"治疗费"</f>
        <v>治疗费</v>
      </c>
    </row>
    <row r="657" customHeight="1" spans="1:5">
      <c r="A657" s="5" t="str">
        <f>"体外膈肌起搏治疗"</f>
        <v>体外膈肌起搏治疗</v>
      </c>
      <c r="B657" s="3">
        <v>310603003</v>
      </c>
      <c r="C657" s="4">
        <v>20</v>
      </c>
      <c r="D657" s="3" t="str">
        <f t="shared" si="136"/>
        <v>次</v>
      </c>
      <c r="E657" s="3" t="str">
        <f t="shared" si="137"/>
        <v>治疗费</v>
      </c>
    </row>
    <row r="658" customHeight="1" spans="1:5">
      <c r="A658" s="5" t="str">
        <f>"胸腔穿刺术"</f>
        <v>胸腔穿刺术</v>
      </c>
      <c r="B658" s="3">
        <v>310604005</v>
      </c>
      <c r="C658" s="4">
        <v>65</v>
      </c>
      <c r="D658" s="3" t="str">
        <f t="shared" si="136"/>
        <v>次</v>
      </c>
      <c r="E658" s="3" t="str">
        <f t="shared" si="137"/>
        <v>治疗费</v>
      </c>
    </row>
    <row r="659" customHeight="1" spans="1:5">
      <c r="A659" s="5" t="str">
        <f>"常规心电图检查(单通道)"</f>
        <v>常规心电图检查(单通道)</v>
      </c>
      <c r="B659" s="3">
        <v>310701001</v>
      </c>
      <c r="C659" s="4">
        <v>12</v>
      </c>
      <c r="D659" s="3" t="str">
        <f t="shared" si="136"/>
        <v>次</v>
      </c>
      <c r="E659" s="3" t="str">
        <f t="shared" ref="E659:E661" si="138">"心电图"</f>
        <v>心电图</v>
      </c>
    </row>
    <row r="660" customHeight="1" spans="1:5">
      <c r="A660" s="5" t="str">
        <f>"常规心电图检查十二通道"</f>
        <v>常规心电图检查十二通道</v>
      </c>
      <c r="B660" s="3" t="str">
        <f>"310701001-b"</f>
        <v>310701001-b</v>
      </c>
      <c r="C660" s="4">
        <v>36</v>
      </c>
      <c r="D660" s="3" t="str">
        <f t="shared" si="136"/>
        <v>次</v>
      </c>
      <c r="E660" s="3" t="str">
        <f t="shared" si="138"/>
        <v>心电图</v>
      </c>
    </row>
    <row r="661" customHeight="1" spans="1:5">
      <c r="A661" s="5" t="str">
        <f>"动态心电图"</f>
        <v>动态心电图</v>
      </c>
      <c r="B661" s="3">
        <v>310701003</v>
      </c>
      <c r="C661" s="4">
        <v>192</v>
      </c>
      <c r="D661" s="3" t="str">
        <f t="shared" si="136"/>
        <v>次</v>
      </c>
      <c r="E661" s="3" t="str">
        <f t="shared" si="138"/>
        <v>心电图</v>
      </c>
    </row>
    <row r="662" customHeight="1" spans="1:5">
      <c r="A662" s="5" t="str">
        <f>"心电图踏车负荷试验"</f>
        <v>心电图踏车负荷试验</v>
      </c>
      <c r="B662" s="3">
        <v>310701010</v>
      </c>
      <c r="C662" s="4">
        <v>144</v>
      </c>
      <c r="D662" s="3" t="str">
        <f t="shared" si="136"/>
        <v>次</v>
      </c>
      <c r="E662" s="3" t="str">
        <f t="shared" ref="E662:E667" si="139">"治疗费"</f>
        <v>治疗费</v>
      </c>
    </row>
    <row r="663" customHeight="1" spans="1:5">
      <c r="A663" s="5" t="str">
        <f>"心率变异性分析"</f>
        <v>心率变异性分析</v>
      </c>
      <c r="B663" s="3">
        <v>310701018</v>
      </c>
      <c r="C663" s="4">
        <v>96</v>
      </c>
      <c r="D663" s="3" t="str">
        <f>"-"</f>
        <v>-</v>
      </c>
      <c r="E663" s="3" t="str">
        <f t="shared" ref="E663:E666" si="140">"检查费"</f>
        <v>检查费</v>
      </c>
    </row>
    <row r="664" customHeight="1" spans="1:5">
      <c r="A664" s="5" t="str">
        <f>"动态血压监测"</f>
        <v>动态血压监测</v>
      </c>
      <c r="B664" s="3">
        <v>310701021</v>
      </c>
      <c r="C664" s="4">
        <v>5</v>
      </c>
      <c r="D664" s="3" t="str">
        <f t="shared" ref="D664:D667" si="141">"小时"</f>
        <v>小时</v>
      </c>
      <c r="E664" s="3" t="str">
        <f t="shared" si="140"/>
        <v>检查费</v>
      </c>
    </row>
    <row r="665" customHeight="1" spans="1:5">
      <c r="A665" s="5" t="str">
        <f>"心电监测"</f>
        <v>心电监测</v>
      </c>
      <c r="B665" s="3">
        <v>310701022</v>
      </c>
      <c r="C665" s="4">
        <v>6</v>
      </c>
      <c r="D665" s="3" t="str">
        <f t="shared" si="141"/>
        <v>小时</v>
      </c>
      <c r="E665" s="3" t="str">
        <f t="shared" si="139"/>
        <v>治疗费</v>
      </c>
    </row>
    <row r="666" customHeight="1" spans="1:5">
      <c r="A666" s="5" t="str">
        <f>"指脉氧监测"</f>
        <v>指脉氧监测</v>
      </c>
      <c r="B666" s="3">
        <v>310701027</v>
      </c>
      <c r="C666" s="4">
        <v>2</v>
      </c>
      <c r="D666" s="3" t="str">
        <f t="shared" si="141"/>
        <v>小时</v>
      </c>
      <c r="E666" s="3" t="str">
        <f t="shared" si="140"/>
        <v>检查费</v>
      </c>
    </row>
    <row r="667" customHeight="1" spans="1:5">
      <c r="A667" s="5" t="str">
        <f>"血氧饱和度监测"</f>
        <v>血氧饱和度监测</v>
      </c>
      <c r="B667" s="3">
        <v>310701028</v>
      </c>
      <c r="C667" s="4">
        <v>2.4</v>
      </c>
      <c r="D667" s="3" t="str">
        <f t="shared" si="141"/>
        <v>小时</v>
      </c>
      <c r="E667" s="3" t="str">
        <f t="shared" si="139"/>
        <v>治疗费</v>
      </c>
    </row>
    <row r="668" customHeight="1" spans="1:5">
      <c r="A668" s="5" t="str">
        <f>"电子纤维内镜加收"</f>
        <v>电子纤维内镜加收</v>
      </c>
      <c r="B668" s="3" t="str">
        <f>"3109-a"</f>
        <v>3109-a</v>
      </c>
      <c r="C668" s="4">
        <v>100</v>
      </c>
      <c r="D668" s="3" t="str">
        <f t="shared" ref="D668:D671" si="142">"次"</f>
        <v>次</v>
      </c>
      <c r="E668" s="3" t="str">
        <f t="shared" ref="E668:E673" si="143">"胃镜费"</f>
        <v>胃镜费</v>
      </c>
    </row>
    <row r="669" customHeight="1" spans="1:5">
      <c r="A669" s="5" t="str">
        <f>"纤维食管镜检查"</f>
        <v>纤维食管镜检查</v>
      </c>
      <c r="B669" s="3">
        <v>310901004</v>
      </c>
      <c r="C669" s="4">
        <v>65</v>
      </c>
      <c r="D669" s="3" t="str">
        <f t="shared" si="142"/>
        <v>次</v>
      </c>
      <c r="E669" s="3" t="str">
        <f t="shared" ref="E669:E681" si="144">"治疗费"</f>
        <v>治疗费</v>
      </c>
    </row>
    <row r="670" customHeight="1" spans="1:5">
      <c r="A670" s="5" t="str">
        <f>"经食管镜取异物"</f>
        <v>经食管镜取异物</v>
      </c>
      <c r="B670" s="3">
        <v>310901005</v>
      </c>
      <c r="C670" s="4">
        <v>208</v>
      </c>
      <c r="D670" s="3" t="str">
        <f t="shared" si="142"/>
        <v>次</v>
      </c>
      <c r="E670" s="3" t="str">
        <f t="shared" si="144"/>
        <v>治疗费</v>
      </c>
    </row>
    <row r="671" customHeight="1" spans="1:5">
      <c r="A671" s="5" t="str">
        <f>"纤维胃十二指肠镜检查"</f>
        <v>纤维胃十二指肠镜检查</v>
      </c>
      <c r="B671" s="3">
        <v>310902005</v>
      </c>
      <c r="C671" s="4">
        <v>104</v>
      </c>
      <c r="D671" s="3" t="str">
        <f t="shared" si="142"/>
        <v>次</v>
      </c>
      <c r="E671" s="3" t="str">
        <f t="shared" si="143"/>
        <v>胃镜费</v>
      </c>
    </row>
    <row r="672" customHeight="1" spans="1:5">
      <c r="A672" s="5" t="str">
        <f>"一次性活检钳"</f>
        <v>一次性活检钳</v>
      </c>
      <c r="B672" s="3" t="str">
        <f>"310902005-1"</f>
        <v>310902005-1</v>
      </c>
      <c r="C672" s="4">
        <v>74</v>
      </c>
      <c r="D672" s="3" t="str">
        <f>"MTN-HT-J"</f>
        <v>MTN-HT-J</v>
      </c>
      <c r="E672" s="3" t="str">
        <f>"材料费"</f>
        <v>材料费</v>
      </c>
    </row>
    <row r="673" customHeight="1" spans="1:5">
      <c r="A673" s="5" t="str">
        <f>"经胃镜特殊治疗（电凝电切法）"</f>
        <v>经胃镜特殊治疗（电凝电切法）</v>
      </c>
      <c r="B673" s="3">
        <v>310902006</v>
      </c>
      <c r="C673" s="4">
        <v>130</v>
      </c>
      <c r="D673" s="3" t="str">
        <f t="shared" ref="D673:D681" si="145">"次"</f>
        <v>次</v>
      </c>
      <c r="E673" s="3" t="str">
        <f t="shared" si="143"/>
        <v>胃镜费</v>
      </c>
    </row>
    <row r="674" customHeight="1" spans="1:5">
      <c r="A674" s="5" t="str">
        <f>"经胃镜特殊治疗"</f>
        <v>经胃镜特殊治疗</v>
      </c>
      <c r="B674" s="3" t="str">
        <f>"310902006-c"</f>
        <v>310902006-c</v>
      </c>
      <c r="C674" s="4">
        <v>65</v>
      </c>
      <c r="D674" s="3" t="str">
        <f t="shared" si="145"/>
        <v>次</v>
      </c>
      <c r="E674" s="3" t="str">
        <f t="shared" si="144"/>
        <v>治疗费</v>
      </c>
    </row>
    <row r="675" customHeight="1" spans="1:5">
      <c r="A675" s="5" t="str">
        <f>"肠套叠手法复位"</f>
        <v>肠套叠手法复位</v>
      </c>
      <c r="B675" s="3">
        <v>310903012</v>
      </c>
      <c r="C675" s="4">
        <v>65</v>
      </c>
      <c r="D675" s="3" t="str">
        <f t="shared" si="145"/>
        <v>次</v>
      </c>
      <c r="E675" s="3" t="str">
        <f t="shared" si="144"/>
        <v>治疗费</v>
      </c>
    </row>
    <row r="676" customHeight="1" spans="1:5">
      <c r="A676" s="5" t="str">
        <f>"直肠镜检查"</f>
        <v>直肠镜检查</v>
      </c>
      <c r="B676" s="3">
        <v>310904001</v>
      </c>
      <c r="C676" s="4">
        <v>52</v>
      </c>
      <c r="D676" s="3" t="str">
        <f t="shared" si="145"/>
        <v>次</v>
      </c>
      <c r="E676" s="3" t="str">
        <f t="shared" si="144"/>
        <v>治疗费</v>
      </c>
    </row>
    <row r="677" customHeight="1" spans="1:5">
      <c r="A677" s="5" t="str">
        <f>"肛门镜检查"</f>
        <v>肛门镜检查</v>
      </c>
      <c r="B677" s="3">
        <v>310904003</v>
      </c>
      <c r="C677" s="4">
        <v>26</v>
      </c>
      <c r="D677" s="3" t="str">
        <f t="shared" si="145"/>
        <v>次</v>
      </c>
      <c r="E677" s="3" t="str">
        <f t="shared" si="144"/>
        <v>治疗费</v>
      </c>
    </row>
    <row r="678" customHeight="1" spans="1:5">
      <c r="A678" s="5" t="str">
        <f>"肛门指检"</f>
        <v>肛门指检</v>
      </c>
      <c r="B678" s="3">
        <v>310904004</v>
      </c>
      <c r="C678" s="4">
        <v>3.9</v>
      </c>
      <c r="D678" s="3" t="str">
        <f t="shared" si="145"/>
        <v>次</v>
      </c>
      <c r="E678" s="3" t="str">
        <f t="shared" si="144"/>
        <v>治疗费</v>
      </c>
    </row>
    <row r="679" customHeight="1" spans="1:5">
      <c r="A679" s="5" t="str">
        <f>"盆底表面肌电评估"</f>
        <v>盆底表面肌电评估</v>
      </c>
      <c r="B679" s="3" t="str">
        <f>"310904005-a"</f>
        <v>310904005-a</v>
      </c>
      <c r="C679" s="4">
        <v>90</v>
      </c>
      <c r="D679" s="3" t="str">
        <f t="shared" si="145"/>
        <v>次</v>
      </c>
      <c r="E679" s="3" t="str">
        <f t="shared" si="144"/>
        <v>治疗费</v>
      </c>
    </row>
    <row r="680" customHeight="1" spans="1:5">
      <c r="A680" s="5" t="str">
        <f>"直肠肛门特殊治疗"</f>
        <v>直肠肛门特殊治疗</v>
      </c>
      <c r="B680" s="3" t="str">
        <f>"310904006-a"</f>
        <v>310904006-a</v>
      </c>
      <c r="C680" s="4">
        <v>130</v>
      </c>
      <c r="D680" s="3" t="str">
        <f t="shared" si="145"/>
        <v>次</v>
      </c>
      <c r="E680" s="3" t="str">
        <f t="shared" si="144"/>
        <v>治疗费</v>
      </c>
    </row>
    <row r="681" customHeight="1" spans="1:5">
      <c r="A681" s="5" t="str">
        <f>"腹腔穿刺术"</f>
        <v>腹腔穿刺术</v>
      </c>
      <c r="B681" s="3">
        <v>310905001</v>
      </c>
      <c r="C681" s="4">
        <v>52</v>
      </c>
      <c r="D681" s="3" t="str">
        <f t="shared" si="145"/>
        <v>次</v>
      </c>
      <c r="E681" s="3" t="str">
        <f t="shared" si="144"/>
        <v>治疗费</v>
      </c>
    </row>
    <row r="682" customHeight="1" spans="1:5">
      <c r="A682" s="5" t="str">
        <f>"腹腔穿刺术放腹水治疗加收"</f>
        <v>腹腔穿刺术放腹水治疗加收</v>
      </c>
      <c r="B682" s="3" t="str">
        <f>"310905001-a"</f>
        <v>310905001-a</v>
      </c>
      <c r="C682" s="4">
        <v>26</v>
      </c>
      <c r="D682" s="3">
        <v>1</v>
      </c>
      <c r="E682" s="3" t="str">
        <f>"手术费"</f>
        <v>手术费</v>
      </c>
    </row>
    <row r="683" customHeight="1" spans="1:5">
      <c r="A683" s="5" t="str">
        <f>"膀胱注射"</f>
        <v>膀胱注射</v>
      </c>
      <c r="B683" s="3">
        <v>311000030</v>
      </c>
      <c r="C683" s="4">
        <v>20</v>
      </c>
      <c r="D683" s="3" t="str">
        <f>"-"</f>
        <v>-</v>
      </c>
      <c r="E683" s="3" t="str">
        <f t="shared" ref="E683:E690" si="146">"治疗费"</f>
        <v>治疗费</v>
      </c>
    </row>
    <row r="684" customHeight="1" spans="1:5">
      <c r="A684" s="5" t="str">
        <f>"膀胱灌注"</f>
        <v>膀胱灌注</v>
      </c>
      <c r="B684" s="3">
        <v>311000031</v>
      </c>
      <c r="C684" s="4">
        <v>20</v>
      </c>
      <c r="D684" s="3" t="str">
        <f t="shared" ref="D684:D690" si="147">"次"</f>
        <v>次</v>
      </c>
      <c r="E684" s="3" t="str">
        <f t="shared" si="146"/>
        <v>治疗费</v>
      </c>
    </row>
    <row r="685" customHeight="1" spans="1:5">
      <c r="A685" s="5" t="str">
        <f>"尿道狭窄扩张术"</f>
        <v>尿道狭窄扩张术</v>
      </c>
      <c r="B685" s="3">
        <v>311000036</v>
      </c>
      <c r="C685" s="4">
        <v>78</v>
      </c>
      <c r="D685" s="3" t="str">
        <f t="shared" si="147"/>
        <v>次</v>
      </c>
      <c r="E685" s="3" t="str">
        <f t="shared" si="146"/>
        <v>治疗费</v>
      </c>
    </row>
    <row r="686" customHeight="1" spans="1:5">
      <c r="A686" s="5" t="str">
        <f>"嵌顿包茎手法复位术"</f>
        <v>嵌顿包茎手法复位术</v>
      </c>
      <c r="B686" s="3">
        <v>311100002</v>
      </c>
      <c r="C686" s="4">
        <v>78</v>
      </c>
      <c r="D686" s="3" t="str">
        <f t="shared" si="147"/>
        <v>次</v>
      </c>
      <c r="E686" s="3" t="str">
        <f t="shared" si="146"/>
        <v>治疗费</v>
      </c>
    </row>
    <row r="687" customHeight="1" spans="1:5">
      <c r="A687" s="5" t="str">
        <f>"前列腺按摩"</f>
        <v>前列腺按摩</v>
      </c>
      <c r="B687" s="3">
        <v>311100015</v>
      </c>
      <c r="C687" s="4">
        <v>26</v>
      </c>
      <c r="D687" s="3" t="str">
        <f t="shared" si="147"/>
        <v>次</v>
      </c>
      <c r="E687" s="3" t="str">
        <f t="shared" si="146"/>
        <v>治疗费</v>
      </c>
    </row>
    <row r="688" customHeight="1" spans="1:5">
      <c r="A688" s="5" t="str">
        <f>"前列腺注射"</f>
        <v>前列腺注射</v>
      </c>
      <c r="B688" s="3">
        <v>311100016</v>
      </c>
      <c r="C688" s="4">
        <v>39</v>
      </c>
      <c r="D688" s="3" t="str">
        <f t="shared" si="147"/>
        <v>次</v>
      </c>
      <c r="E688" s="3" t="str">
        <f t="shared" si="146"/>
        <v>治疗费</v>
      </c>
    </row>
    <row r="689" customHeight="1" spans="1:5">
      <c r="A689" s="5" t="str">
        <f>"前列腺特殊治疗"</f>
        <v>前列腺特殊治疗</v>
      </c>
      <c r="B689" s="3">
        <v>311100017</v>
      </c>
      <c r="C689" s="4">
        <v>78</v>
      </c>
      <c r="D689" s="3" t="str">
        <f t="shared" si="147"/>
        <v>次</v>
      </c>
      <c r="E689" s="3" t="str">
        <f t="shared" si="146"/>
        <v>治疗费</v>
      </c>
    </row>
    <row r="690" customHeight="1" spans="1:5">
      <c r="A690" s="5" t="str">
        <f>"鞘膜积液穿刺抽液术"</f>
        <v>鞘膜积液穿刺抽液术</v>
      </c>
      <c r="B690" s="3">
        <v>311100018</v>
      </c>
      <c r="C690" s="4">
        <v>39</v>
      </c>
      <c r="D690" s="3" t="str">
        <f t="shared" si="147"/>
        <v>次</v>
      </c>
      <c r="E690" s="3" t="str">
        <f t="shared" si="146"/>
        <v>治疗费</v>
      </c>
    </row>
    <row r="691" customHeight="1" spans="1:5">
      <c r="A691" s="5" t="str">
        <f>"一次性宫腔组织吸引管"</f>
        <v>一次性宫腔组织吸引管</v>
      </c>
      <c r="B691" s="3" t="str">
        <f>"311201-2-1"</f>
        <v>311201-2-1</v>
      </c>
      <c r="C691" s="4">
        <v>50</v>
      </c>
      <c r="D691" s="3" t="str">
        <f>"C3.1/30-IS"</f>
        <v>C3.1/30-IS</v>
      </c>
      <c r="E691" s="3" t="str">
        <f>"材料费"</f>
        <v>材料费</v>
      </c>
    </row>
    <row r="692" customHeight="1" spans="1:5">
      <c r="A692" s="5" t="str">
        <f>"一次性宫腔组织吸引管包"</f>
        <v>一次性宫腔组织吸引管包</v>
      </c>
      <c r="B692" s="3" t="str">
        <f>"311201-2-2"</f>
        <v>311201-2-2</v>
      </c>
      <c r="C692" s="4">
        <v>179</v>
      </c>
      <c r="D692" s="3" t="str">
        <f>"套"</f>
        <v>套</v>
      </c>
      <c r="E692" s="3" t="str">
        <f>"材料费"</f>
        <v>材料费</v>
      </c>
    </row>
    <row r="693" customHeight="1" spans="1:5">
      <c r="A693" s="5" t="str">
        <f>"电子阴道镜加收"</f>
        <v>电子阴道镜加收</v>
      </c>
      <c r="B693" s="3" t="str">
        <f>"311201-a"</f>
        <v>311201-a</v>
      </c>
      <c r="C693" s="4">
        <v>100</v>
      </c>
      <c r="D693" s="3" t="str">
        <f t="shared" ref="D693:D711" si="148">"次"</f>
        <v>次</v>
      </c>
      <c r="E693" s="3" t="str">
        <f t="shared" ref="E693:E701" si="149">"治疗费"</f>
        <v>治疗费</v>
      </c>
    </row>
    <row r="694" customHeight="1" spans="1:5">
      <c r="A694" s="5" t="str">
        <f>"外阴活检术"</f>
        <v>外阴活检术</v>
      </c>
      <c r="B694" s="3">
        <v>311201002</v>
      </c>
      <c r="C694" s="4">
        <v>26</v>
      </c>
      <c r="D694" s="3" t="str">
        <f>"-"</f>
        <v>-</v>
      </c>
      <c r="E694" s="3" t="str">
        <f t="shared" si="149"/>
        <v>治疗费</v>
      </c>
    </row>
    <row r="695" customHeight="1" spans="1:5">
      <c r="A695" s="5" t="str">
        <f>"外阴病光照射治疗"</f>
        <v>外阴病光照射治疗</v>
      </c>
      <c r="B695" s="3">
        <v>311201003</v>
      </c>
      <c r="C695" s="4">
        <v>13</v>
      </c>
      <c r="D695" s="3" t="str">
        <f t="shared" si="148"/>
        <v>次</v>
      </c>
      <c r="E695" s="3" t="str">
        <f t="shared" si="149"/>
        <v>治疗费</v>
      </c>
    </row>
    <row r="696" customHeight="1" spans="1:5">
      <c r="A696" s="5" t="str">
        <f>"阴道镜检查"</f>
        <v>阴道镜检查</v>
      </c>
      <c r="B696" s="3">
        <v>311201004</v>
      </c>
      <c r="C696" s="4">
        <v>13</v>
      </c>
      <c r="D696" s="3" t="str">
        <f t="shared" si="148"/>
        <v>次</v>
      </c>
      <c r="E696" s="3" t="str">
        <f t="shared" si="149"/>
        <v>治疗费</v>
      </c>
    </row>
    <row r="697" customHeight="1" spans="1:5">
      <c r="A697" s="5" t="str">
        <f>"阴道填塞"</f>
        <v>阴道填塞</v>
      </c>
      <c r="B697" s="3">
        <v>311201005</v>
      </c>
      <c r="C697" s="4">
        <v>39</v>
      </c>
      <c r="D697" s="3" t="str">
        <f t="shared" si="148"/>
        <v>次</v>
      </c>
      <c r="E697" s="3" t="str">
        <f t="shared" si="149"/>
        <v>治疗费</v>
      </c>
    </row>
    <row r="698" customHeight="1" spans="1:5">
      <c r="A698" s="5" t="str">
        <f>"阴道灌洗上药"</f>
        <v>阴道灌洗上药</v>
      </c>
      <c r="B698" s="3">
        <v>311201006</v>
      </c>
      <c r="C698" s="4">
        <v>10</v>
      </c>
      <c r="D698" s="3" t="str">
        <f t="shared" si="148"/>
        <v>次</v>
      </c>
      <c r="E698" s="3" t="str">
        <f t="shared" si="149"/>
        <v>治疗费</v>
      </c>
    </row>
    <row r="699" customHeight="1" spans="1:5">
      <c r="A699" s="5" t="str">
        <f>"后穹窿穿刺术"</f>
        <v>后穹窿穿刺术</v>
      </c>
      <c r="B699" s="3">
        <v>311201007</v>
      </c>
      <c r="C699" s="4">
        <v>46</v>
      </c>
      <c r="D699" s="3" t="str">
        <f t="shared" si="148"/>
        <v>次</v>
      </c>
      <c r="E699" s="3" t="str">
        <f t="shared" si="149"/>
        <v>治疗费</v>
      </c>
    </row>
    <row r="700" customHeight="1" spans="1:5">
      <c r="A700" s="5" t="str">
        <f>"宫颈活检术"</f>
        <v>宫颈活检术</v>
      </c>
      <c r="B700" s="3">
        <v>311201008</v>
      </c>
      <c r="C700" s="4">
        <v>39</v>
      </c>
      <c r="D700" s="3" t="str">
        <f t="shared" si="148"/>
        <v>次</v>
      </c>
      <c r="E700" s="3" t="str">
        <f t="shared" si="149"/>
        <v>治疗费</v>
      </c>
    </row>
    <row r="701" customHeight="1" spans="1:5">
      <c r="A701" s="5" t="str">
        <f>"宫颈上药"</f>
        <v>宫颈上药</v>
      </c>
      <c r="B701" s="3">
        <v>311201009</v>
      </c>
      <c r="C701" s="4">
        <v>13</v>
      </c>
      <c r="D701" s="3" t="str">
        <f t="shared" si="148"/>
        <v>次</v>
      </c>
      <c r="E701" s="3" t="str">
        <f t="shared" si="149"/>
        <v>治疗费</v>
      </c>
    </row>
    <row r="702" customHeight="1" spans="1:5">
      <c r="A702" s="5" t="str">
        <f>"宫颈扩张术"</f>
        <v>宫颈扩张术</v>
      </c>
      <c r="B702" s="3">
        <v>311201010</v>
      </c>
      <c r="C702" s="4">
        <v>39</v>
      </c>
      <c r="D702" s="3" t="str">
        <f t="shared" si="148"/>
        <v>次</v>
      </c>
      <c r="E702" s="3" t="str">
        <f t="shared" ref="E702:E705" si="150">"手术费"</f>
        <v>手术费</v>
      </c>
    </row>
    <row r="703" customHeight="1" spans="1:5">
      <c r="A703" s="5" t="str">
        <f>"宫颈内口探查术"</f>
        <v>宫颈内口探查术</v>
      </c>
      <c r="B703" s="3">
        <v>311201011</v>
      </c>
      <c r="C703" s="4">
        <v>52</v>
      </c>
      <c r="D703" s="3" t="str">
        <f t="shared" si="148"/>
        <v>次</v>
      </c>
      <c r="E703" s="3" t="str">
        <f t="shared" si="150"/>
        <v>手术费</v>
      </c>
    </row>
    <row r="704" customHeight="1" spans="1:5">
      <c r="A704" s="5" t="str">
        <f>"子宫托治疗"</f>
        <v>子宫托治疗</v>
      </c>
      <c r="B704" s="3">
        <v>311201012</v>
      </c>
      <c r="C704" s="4">
        <v>52</v>
      </c>
      <c r="D704" s="3" t="str">
        <f t="shared" si="148"/>
        <v>次</v>
      </c>
      <c r="E704" s="3" t="str">
        <f t="shared" ref="E704:E709" si="151">"治疗费"</f>
        <v>治疗费</v>
      </c>
    </row>
    <row r="705" customHeight="1" spans="1:5">
      <c r="A705" s="5" t="str">
        <f>"子宫内膜活检术"</f>
        <v>子宫内膜活检术</v>
      </c>
      <c r="B705" s="3">
        <v>311201013</v>
      </c>
      <c r="C705" s="4">
        <v>78</v>
      </c>
      <c r="D705" s="3" t="str">
        <f t="shared" si="148"/>
        <v>次</v>
      </c>
      <c r="E705" s="3" t="str">
        <f t="shared" si="150"/>
        <v>手术费</v>
      </c>
    </row>
    <row r="706" customHeight="1" spans="1:5">
      <c r="A706" s="5" t="str">
        <f>"子宫直肠凹封闭术"</f>
        <v>子宫直肠凹封闭术</v>
      </c>
      <c r="B706" s="3">
        <v>311201014</v>
      </c>
      <c r="C706" s="4">
        <v>26</v>
      </c>
      <c r="D706" s="3" t="str">
        <f t="shared" si="148"/>
        <v>次</v>
      </c>
      <c r="E706" s="3" t="str">
        <f t="shared" si="151"/>
        <v>治疗费</v>
      </c>
    </row>
    <row r="707" customHeight="1" spans="1:5">
      <c r="A707" s="5" t="str">
        <f>"子宫输卵管通液术"</f>
        <v>子宫输卵管通液术</v>
      </c>
      <c r="B707" s="3">
        <v>311201015</v>
      </c>
      <c r="C707" s="4">
        <v>52</v>
      </c>
      <c r="D707" s="3" t="str">
        <f t="shared" si="148"/>
        <v>次</v>
      </c>
      <c r="E707" s="3" t="str">
        <f t="shared" si="151"/>
        <v>治疗费</v>
      </c>
    </row>
    <row r="708" customHeight="1" spans="1:5">
      <c r="A708" s="5" t="str">
        <f>"子宫内翻复位术"</f>
        <v>子宫内翻复位术</v>
      </c>
      <c r="B708" s="3">
        <v>311201016</v>
      </c>
      <c r="C708" s="4">
        <v>208</v>
      </c>
      <c r="D708" s="3" t="str">
        <f t="shared" si="148"/>
        <v>次</v>
      </c>
      <c r="E708" s="3" t="str">
        <f t="shared" si="151"/>
        <v>治疗费</v>
      </c>
    </row>
    <row r="709" customHeight="1" spans="1:5">
      <c r="A709" s="5" t="str">
        <f>"宫腔吸片"</f>
        <v>宫腔吸片</v>
      </c>
      <c r="B709" s="3">
        <v>311201017</v>
      </c>
      <c r="C709" s="4">
        <v>78</v>
      </c>
      <c r="D709" s="3" t="str">
        <f t="shared" si="148"/>
        <v>次</v>
      </c>
      <c r="E709" s="3" t="str">
        <f t="shared" si="151"/>
        <v>治疗费</v>
      </c>
    </row>
    <row r="710" customHeight="1" spans="1:5">
      <c r="A710" s="5" t="str">
        <f>"宫腔粘连分离术"</f>
        <v>宫腔粘连分离术</v>
      </c>
      <c r="B710" s="3">
        <v>311201018</v>
      </c>
      <c r="C710" s="4">
        <v>52</v>
      </c>
      <c r="D710" s="3" t="str">
        <f t="shared" si="148"/>
        <v>次</v>
      </c>
      <c r="E710" s="3" t="str">
        <f>"手术费"</f>
        <v>手术费</v>
      </c>
    </row>
    <row r="711" customHeight="1" spans="1:5">
      <c r="A711" s="5" t="str">
        <f>"宫腔填塞"</f>
        <v>宫腔填塞</v>
      </c>
      <c r="B711" s="3">
        <v>311201019</v>
      </c>
      <c r="C711" s="4">
        <v>65</v>
      </c>
      <c r="D711" s="3" t="str">
        <f t="shared" si="148"/>
        <v>次</v>
      </c>
      <c r="E711" s="3" t="str">
        <f t="shared" ref="E711:E715" si="152">"治疗费"</f>
        <v>治疗费</v>
      </c>
    </row>
    <row r="712" customHeight="1" spans="1:5">
      <c r="A712" s="5" t="str">
        <f>"妇科特殊治疗"</f>
        <v>妇科特殊治疗</v>
      </c>
      <c r="B712" s="3">
        <v>311201020</v>
      </c>
      <c r="C712" s="4">
        <v>26</v>
      </c>
      <c r="D712" s="3" t="str">
        <f>"每个部位"</f>
        <v>每个部位</v>
      </c>
      <c r="E712" s="3" t="str">
        <f t="shared" si="152"/>
        <v>治疗费</v>
      </c>
    </row>
    <row r="713" customHeight="1" spans="1:5">
      <c r="A713" s="5" t="str">
        <f>"银尔洁活性银离子抗菌液"</f>
        <v>银尔洁活性银离子抗菌液</v>
      </c>
      <c r="B713" s="3" t="str">
        <f>"311201020-2-1"</f>
        <v>311201020-2-1</v>
      </c>
      <c r="C713" s="4">
        <v>47</v>
      </c>
      <c r="D713" s="3" t="str">
        <f>"100ml／盒"</f>
        <v>100ml／盒</v>
      </c>
      <c r="E713" s="3" t="str">
        <f>"材料费"</f>
        <v>材料费</v>
      </c>
    </row>
    <row r="714" customHeight="1" spans="1:5">
      <c r="A714" s="5" t="str">
        <f>"活性银离子抗菌凝胶（银尔舒）"</f>
        <v>活性银离子抗菌凝胶（银尔舒）</v>
      </c>
      <c r="B714" s="3" t="str">
        <f>"311201020-3"</f>
        <v>311201020-3</v>
      </c>
      <c r="C714" s="4">
        <v>24.5</v>
      </c>
      <c r="D714" s="3" t="str">
        <f>"3g"</f>
        <v>3g</v>
      </c>
      <c r="E714" s="3" t="str">
        <f>"材料费"</f>
        <v>材料费</v>
      </c>
    </row>
    <row r="715" customHeight="1" spans="1:5">
      <c r="A715" s="5" t="str">
        <f>"腹腔穿刺插管盆腔滴注术"</f>
        <v>腹腔穿刺插管盆腔滴注术</v>
      </c>
      <c r="B715" s="3">
        <v>311201021</v>
      </c>
      <c r="C715" s="4">
        <v>52</v>
      </c>
      <c r="D715" s="3" t="str">
        <f t="shared" ref="D715:D720" si="153">"次"</f>
        <v>次</v>
      </c>
      <c r="E715" s="3" t="str">
        <f t="shared" si="152"/>
        <v>治疗费</v>
      </c>
    </row>
    <row r="716" customHeight="1" spans="1:5">
      <c r="A716" s="5" t="str">
        <f>"产前检查"</f>
        <v>产前检查</v>
      </c>
      <c r="B716" s="3">
        <v>311201023</v>
      </c>
      <c r="C716" s="4">
        <v>10</v>
      </c>
      <c r="D716" s="3" t="str">
        <f t="shared" si="153"/>
        <v>次</v>
      </c>
      <c r="E716" s="3" t="str">
        <f>"检查费"</f>
        <v>检查费</v>
      </c>
    </row>
    <row r="717" customHeight="1" spans="1:5">
      <c r="A717" s="5" t="str">
        <f>"胎心监测"</f>
        <v>胎心监测</v>
      </c>
      <c r="B717" s="3">
        <v>311201026</v>
      </c>
      <c r="C717" s="4">
        <v>26</v>
      </c>
      <c r="D717" s="3" t="str">
        <f t="shared" si="153"/>
        <v>次</v>
      </c>
      <c r="E717" s="3" t="str">
        <f>"检查费"</f>
        <v>检查费</v>
      </c>
    </row>
    <row r="718" customHeight="1" spans="1:5">
      <c r="A718" s="5" t="str">
        <f>"羊膜腔穿刺术"</f>
        <v>羊膜腔穿刺术</v>
      </c>
      <c r="B718" s="3">
        <v>311201030</v>
      </c>
      <c r="C718" s="4">
        <v>85</v>
      </c>
      <c r="D718" s="3" t="str">
        <f t="shared" si="153"/>
        <v>次</v>
      </c>
      <c r="E718" s="3" t="str">
        <f>"治疗费"</f>
        <v>治疗费</v>
      </c>
    </row>
    <row r="719" customHeight="1" spans="1:5">
      <c r="A719" s="5" t="str">
        <f>"输卵管绝育术"</f>
        <v>输卵管绝育术</v>
      </c>
      <c r="B719" s="3">
        <v>311201047</v>
      </c>
      <c r="C719" s="4">
        <v>78</v>
      </c>
      <c r="D719" s="3" t="str">
        <f t="shared" si="153"/>
        <v>次</v>
      </c>
      <c r="E719" s="3" t="str">
        <f>"治疗费"</f>
        <v>治疗费</v>
      </c>
    </row>
    <row r="720" customHeight="1" spans="1:5">
      <c r="A720" s="5" t="str">
        <f>"宫内节育器放置术"</f>
        <v>宫内节育器放置术</v>
      </c>
      <c r="B720" s="3" t="str">
        <f>"311201048-1"</f>
        <v>311201048-1</v>
      </c>
      <c r="C720" s="4">
        <v>26</v>
      </c>
      <c r="D720" s="3" t="str">
        <f t="shared" si="153"/>
        <v>次</v>
      </c>
      <c r="E720" s="3" t="str">
        <f>"手术费"</f>
        <v>手术费</v>
      </c>
    </row>
    <row r="721" customHeight="1" spans="1:5">
      <c r="A721" s="5" t="str">
        <f>"固定式宫内节育器"</f>
        <v>固定式宫内节育器</v>
      </c>
      <c r="B721" s="3" t="str">
        <f>"311201048-1-3"</f>
        <v>311201048-1-3</v>
      </c>
      <c r="C721" s="4">
        <v>40</v>
      </c>
      <c r="D721" s="3" t="str">
        <f>"A（软尾丝）"</f>
        <v>A（软尾丝）</v>
      </c>
      <c r="E721" s="3" t="str">
        <f>"材料费"</f>
        <v>材料费</v>
      </c>
    </row>
    <row r="722" customHeight="1" spans="1:5">
      <c r="A722" s="5" t="str">
        <f>"活性r型宫内节育器"</f>
        <v>活性r型宫内节育器</v>
      </c>
      <c r="B722" s="3" t="str">
        <f>"311201048-1-5"</f>
        <v>311201048-1-5</v>
      </c>
      <c r="C722" s="4">
        <v>145</v>
      </c>
      <c r="D722" s="3" t="str">
        <f>"个"</f>
        <v>个</v>
      </c>
      <c r="E722" s="3" t="str">
        <f>"材料费"</f>
        <v>材料费</v>
      </c>
    </row>
    <row r="723" customHeight="1" spans="1:5">
      <c r="A723" s="5" t="str">
        <f>"宫内节育器取出术"</f>
        <v>宫内节育器取出术</v>
      </c>
      <c r="B723" s="3" t="str">
        <f>"311201048-2"</f>
        <v>311201048-2</v>
      </c>
      <c r="C723" s="4">
        <v>26</v>
      </c>
      <c r="D723" s="3">
        <v>1</v>
      </c>
      <c r="E723" s="3" t="str">
        <f>"手术费"</f>
        <v>手术费</v>
      </c>
    </row>
    <row r="724" customHeight="1" spans="1:5">
      <c r="A724" s="5" t="str">
        <f>"避孕药皮下埋植术"</f>
        <v>避孕药皮下埋植术</v>
      </c>
      <c r="B724" s="3">
        <v>311201049</v>
      </c>
      <c r="C724" s="4">
        <v>130</v>
      </c>
      <c r="D724" s="3" t="str">
        <f t="shared" ref="D724:D733" si="154">"次"</f>
        <v>次</v>
      </c>
      <c r="E724" s="3" t="str">
        <f t="shared" ref="E724:E728" si="155">"治疗费"</f>
        <v>治疗费</v>
      </c>
    </row>
    <row r="725" customHeight="1" spans="1:5">
      <c r="A725" s="5" t="str">
        <f>"皮下避孕药取出术"</f>
        <v>皮下避孕药取出术</v>
      </c>
      <c r="B725" s="3" t="str">
        <f>"311201049-1"</f>
        <v>311201049-1</v>
      </c>
      <c r="C725" s="4">
        <v>130</v>
      </c>
      <c r="D725" s="3">
        <v>1</v>
      </c>
      <c r="E725" s="3" t="str">
        <f t="shared" si="155"/>
        <v>治疗费</v>
      </c>
    </row>
    <row r="726" customHeight="1" spans="1:5">
      <c r="A726" s="5" t="str">
        <f>"刮宫术"</f>
        <v>刮宫术</v>
      </c>
      <c r="B726" s="3">
        <v>311201050</v>
      </c>
      <c r="C726" s="4">
        <v>104</v>
      </c>
      <c r="D726" s="3" t="str">
        <f t="shared" si="154"/>
        <v>次</v>
      </c>
      <c r="E726" s="3" t="str">
        <f>"手术费"</f>
        <v>手术费</v>
      </c>
    </row>
    <row r="727" customHeight="1" spans="1:5">
      <c r="A727" s="5" t="str">
        <f>"产后刮宫术"</f>
        <v>产后刮宫术</v>
      </c>
      <c r="B727" s="3">
        <v>311201051</v>
      </c>
      <c r="C727" s="4">
        <v>104</v>
      </c>
      <c r="D727" s="3" t="str">
        <f t="shared" si="154"/>
        <v>次</v>
      </c>
      <c r="E727" s="3" t="str">
        <f t="shared" si="155"/>
        <v>治疗费</v>
      </c>
    </row>
    <row r="728" customHeight="1" spans="1:5">
      <c r="A728" s="5" t="str">
        <f>"葡萄胎刮宫术"</f>
        <v>葡萄胎刮宫术</v>
      </c>
      <c r="B728" s="3">
        <v>311201052</v>
      </c>
      <c r="C728" s="4">
        <v>260</v>
      </c>
      <c r="D728" s="3" t="str">
        <f t="shared" si="154"/>
        <v>次</v>
      </c>
      <c r="E728" s="3" t="str">
        <f t="shared" si="155"/>
        <v>治疗费</v>
      </c>
    </row>
    <row r="729" customHeight="1" spans="1:5">
      <c r="A729" s="5" t="str">
        <f>"人工流产术"</f>
        <v>人工流产术</v>
      </c>
      <c r="B729" s="3">
        <v>311201053</v>
      </c>
      <c r="C729" s="4">
        <v>78</v>
      </c>
      <c r="D729" s="3" t="str">
        <f t="shared" si="154"/>
        <v>次</v>
      </c>
      <c r="E729" s="3" t="str">
        <f>"手术费"</f>
        <v>手术费</v>
      </c>
    </row>
    <row r="730" customHeight="1" spans="1:5">
      <c r="A730" s="5" t="str">
        <f>"子宫内水囊引产术"</f>
        <v>子宫内水囊引产术</v>
      </c>
      <c r="B730" s="3">
        <v>311201054</v>
      </c>
      <c r="C730" s="4">
        <v>156</v>
      </c>
      <c r="D730" s="3" t="str">
        <f t="shared" si="154"/>
        <v>次</v>
      </c>
      <c r="E730" s="3" t="str">
        <f t="shared" ref="E730:E740" si="156">"治疗费"</f>
        <v>治疗费</v>
      </c>
    </row>
    <row r="731" customHeight="1" spans="1:5">
      <c r="A731" s="5" t="str">
        <f>"催产素滴注引产术"</f>
        <v>催产素滴注引产术</v>
      </c>
      <c r="B731" s="3">
        <v>311201055</v>
      </c>
      <c r="C731" s="4">
        <v>104</v>
      </c>
      <c r="D731" s="3" t="str">
        <f t="shared" si="154"/>
        <v>次</v>
      </c>
      <c r="E731" s="3" t="str">
        <f t="shared" si="156"/>
        <v>治疗费</v>
      </c>
    </row>
    <row r="732" customHeight="1" spans="1:5">
      <c r="A732" s="5" t="str">
        <f>"药物性引产处置术"</f>
        <v>药物性引产处置术</v>
      </c>
      <c r="B732" s="3">
        <v>311201056</v>
      </c>
      <c r="C732" s="4">
        <v>104</v>
      </c>
      <c r="D732" s="3" t="str">
        <f t="shared" si="154"/>
        <v>次</v>
      </c>
      <c r="E732" s="3" t="str">
        <f t="shared" si="156"/>
        <v>治疗费</v>
      </c>
    </row>
    <row r="733" customHeight="1" spans="1:5">
      <c r="A733" s="5" t="str">
        <f>"乳房按摩"</f>
        <v>乳房按摩</v>
      </c>
      <c r="B733" s="3">
        <v>311201057</v>
      </c>
      <c r="C733" s="4">
        <v>6.5</v>
      </c>
      <c r="D733" s="3" t="str">
        <f t="shared" si="154"/>
        <v>次</v>
      </c>
      <c r="E733" s="3" t="str">
        <f t="shared" si="156"/>
        <v>治疗费</v>
      </c>
    </row>
    <row r="734" customHeight="1" spans="1:5">
      <c r="A734" s="5" t="str">
        <f>"新生儿暖箱"</f>
        <v>新生儿暖箱</v>
      </c>
      <c r="B734" s="3">
        <v>311202001</v>
      </c>
      <c r="C734" s="4">
        <v>2</v>
      </c>
      <c r="D734" s="3" t="str">
        <f>"小时"</f>
        <v>小时</v>
      </c>
      <c r="E734" s="3" t="str">
        <f t="shared" si="156"/>
        <v>治疗费</v>
      </c>
    </row>
    <row r="735" customHeight="1" spans="1:5">
      <c r="A735" s="5" t="str">
        <f>"新生儿复苏"</f>
        <v>新生儿复苏</v>
      </c>
      <c r="B735" s="3">
        <v>311202003</v>
      </c>
      <c r="C735" s="4">
        <v>117</v>
      </c>
      <c r="D735" s="3" t="str">
        <f t="shared" ref="D735:D737" si="157">"次"</f>
        <v>次</v>
      </c>
      <c r="E735" s="3" t="str">
        <f t="shared" si="156"/>
        <v>治疗费</v>
      </c>
    </row>
    <row r="736" customHeight="1" spans="1:5">
      <c r="A736" s="5" t="str">
        <f>"新生儿气管插管术"</f>
        <v>新生儿气管插管术</v>
      </c>
      <c r="B736" s="3">
        <v>311202004</v>
      </c>
      <c r="C736" s="4">
        <v>10</v>
      </c>
      <c r="D736" s="3" t="str">
        <f t="shared" si="157"/>
        <v>次</v>
      </c>
      <c r="E736" s="3" t="str">
        <f t="shared" si="156"/>
        <v>治疗费</v>
      </c>
    </row>
    <row r="737" customHeight="1" spans="1:5">
      <c r="A737" s="5" t="str">
        <f>"新生儿人工呼吸(正压通气)"</f>
        <v>新生儿人工呼吸(正压通气)</v>
      </c>
      <c r="B737" s="3">
        <v>311202005</v>
      </c>
      <c r="C737" s="4">
        <v>52</v>
      </c>
      <c r="D737" s="3" t="str">
        <f t="shared" si="157"/>
        <v>次</v>
      </c>
      <c r="E737" s="3" t="str">
        <f t="shared" si="156"/>
        <v>治疗费</v>
      </c>
    </row>
    <row r="738" customHeight="1" spans="1:5">
      <c r="A738" s="5" t="str">
        <f>"新生儿监护"</f>
        <v>新生儿监护</v>
      </c>
      <c r="B738" s="3">
        <v>311202007</v>
      </c>
      <c r="C738" s="4">
        <v>6.5</v>
      </c>
      <c r="D738" s="3" t="str">
        <f>"小时"</f>
        <v>小时</v>
      </c>
      <c r="E738" s="3" t="str">
        <f t="shared" si="156"/>
        <v>治疗费</v>
      </c>
    </row>
    <row r="739" customHeight="1" spans="1:5">
      <c r="A739" s="5" t="str">
        <f>"新生儿脐静脉穿刺和注射"</f>
        <v>新生儿脐静脉穿刺和注射</v>
      </c>
      <c r="B739" s="3">
        <v>311202008</v>
      </c>
      <c r="C739" s="4">
        <v>6.5</v>
      </c>
      <c r="D739" s="3" t="str">
        <f>"次"</f>
        <v>次</v>
      </c>
      <c r="E739" s="3" t="str">
        <f t="shared" si="156"/>
        <v>治疗费</v>
      </c>
    </row>
    <row r="740" customHeight="1" spans="1:5">
      <c r="A740" s="5" t="str">
        <f>"新生儿经皮胆红素测定（头部）"</f>
        <v>新生儿经皮胆红素测定（头部）</v>
      </c>
      <c r="B740" s="3" t="str">
        <f>"311202011-1"</f>
        <v>311202011-1</v>
      </c>
      <c r="C740" s="4">
        <v>6.5</v>
      </c>
      <c r="D740" s="3">
        <v>1</v>
      </c>
      <c r="E740" s="3" t="str">
        <f t="shared" si="156"/>
        <v>治疗费</v>
      </c>
    </row>
    <row r="741" customHeight="1" spans="1:5">
      <c r="A741" s="5" t="str">
        <f>"新生儿经皮胆红素测定（胸部）"</f>
        <v>新生儿经皮胆红素测定（胸部）</v>
      </c>
      <c r="B741" s="3" t="str">
        <f>"311202011-2"</f>
        <v>311202011-2</v>
      </c>
      <c r="C741" s="4">
        <v>6.5</v>
      </c>
      <c r="D741" s="3" t="str">
        <f>"每个部位"</f>
        <v>每个部位</v>
      </c>
      <c r="E741" s="3" t="str">
        <f>"检查费"</f>
        <v>检查费</v>
      </c>
    </row>
    <row r="742" customHeight="1" spans="1:5">
      <c r="A742" s="5" t="str">
        <f>"新生儿经皮胆红素测定（腿部）"</f>
        <v>新生儿经皮胆红素测定（腿部）</v>
      </c>
      <c r="B742" s="3" t="str">
        <f>"311202011-3"</f>
        <v>311202011-3</v>
      </c>
      <c r="C742" s="4">
        <v>6.5</v>
      </c>
      <c r="D742" s="3" t="str">
        <f>"每个 部位"</f>
        <v>每个 部位</v>
      </c>
      <c r="E742" s="3" t="str">
        <f>"检查费"</f>
        <v>检查费</v>
      </c>
    </row>
    <row r="743" customHeight="1" spans="1:5">
      <c r="A743" s="5" t="str">
        <f>"新生儿辐射抢救治疗"</f>
        <v>新生儿辐射抢救治疗</v>
      </c>
      <c r="B743" s="3">
        <v>311202012</v>
      </c>
      <c r="C743" s="4">
        <v>3.9</v>
      </c>
      <c r="D743" s="3" t="str">
        <f>"小时"</f>
        <v>小时</v>
      </c>
      <c r="E743" s="3" t="str">
        <f t="shared" ref="E743:E760" si="158">"治疗费"</f>
        <v>治疗费</v>
      </c>
    </row>
    <row r="744" customHeight="1" spans="1:5">
      <c r="A744" s="5" t="str">
        <f>"新生儿量表检查"</f>
        <v>新生儿量表检查</v>
      </c>
      <c r="B744" s="3">
        <v>311202014</v>
      </c>
      <c r="C744" s="4">
        <v>13</v>
      </c>
      <c r="D744" s="3" t="str">
        <f t="shared" ref="D744:D750" si="159">"次"</f>
        <v>次</v>
      </c>
      <c r="E744" s="3" t="str">
        <f t="shared" si="158"/>
        <v>治疗费</v>
      </c>
    </row>
    <row r="745" customHeight="1" spans="1:5">
      <c r="A745" s="5" t="str">
        <f>"关节穿刺术"</f>
        <v>关节穿刺术</v>
      </c>
      <c r="B745" s="3">
        <v>311300002</v>
      </c>
      <c r="C745" s="4">
        <v>65</v>
      </c>
      <c r="D745" s="3" t="str">
        <f t="shared" si="159"/>
        <v>次</v>
      </c>
      <c r="E745" s="3" t="str">
        <f t="shared" si="158"/>
        <v>治疗费</v>
      </c>
    </row>
    <row r="746" customHeight="1" spans="1:5">
      <c r="A746" s="5" t="str">
        <f>"关节腔灌注治疗"</f>
        <v>关节腔灌注治疗</v>
      </c>
      <c r="B746" s="3">
        <v>311300003</v>
      </c>
      <c r="C746" s="4">
        <v>104</v>
      </c>
      <c r="D746" s="3" t="str">
        <f t="shared" si="159"/>
        <v>次</v>
      </c>
      <c r="E746" s="3" t="str">
        <f t="shared" si="158"/>
        <v>治疗费</v>
      </c>
    </row>
    <row r="747" customHeight="1" spans="1:5">
      <c r="A747" s="5" t="str">
        <f>"软组织内封闭术"</f>
        <v>软组织内封闭术</v>
      </c>
      <c r="B747" s="3">
        <v>311300006</v>
      </c>
      <c r="C747" s="4">
        <v>33</v>
      </c>
      <c r="D747" s="3" t="str">
        <f t="shared" si="159"/>
        <v>次</v>
      </c>
      <c r="E747" s="3" t="str">
        <f t="shared" si="158"/>
        <v>治疗费</v>
      </c>
    </row>
    <row r="748" customHeight="1" spans="1:5">
      <c r="A748" s="5" t="str">
        <f>"神经根封闭术"</f>
        <v>神经根封闭术</v>
      </c>
      <c r="B748" s="3">
        <v>311300007</v>
      </c>
      <c r="C748" s="4">
        <v>52</v>
      </c>
      <c r="D748" s="3" t="str">
        <f t="shared" si="159"/>
        <v>次</v>
      </c>
      <c r="E748" s="3" t="str">
        <f t="shared" si="158"/>
        <v>治疗费</v>
      </c>
    </row>
    <row r="749" customHeight="1" spans="1:5">
      <c r="A749" s="5" t="str">
        <f>"周围神经封闭术"</f>
        <v>周围神经封闭术</v>
      </c>
      <c r="B749" s="3">
        <v>311300008</v>
      </c>
      <c r="C749" s="4">
        <v>33</v>
      </c>
      <c r="D749" s="3" t="str">
        <f t="shared" si="159"/>
        <v>次</v>
      </c>
      <c r="E749" s="3" t="str">
        <f t="shared" si="158"/>
        <v>治疗费</v>
      </c>
    </row>
    <row r="750" customHeight="1" spans="1:5">
      <c r="A750" s="5" t="str">
        <f>"神经丛封闭术"</f>
        <v>神经丛封闭术</v>
      </c>
      <c r="B750" s="3" t="str">
        <f>"311300009-1"</f>
        <v>311300009-1</v>
      </c>
      <c r="C750" s="4">
        <v>46</v>
      </c>
      <c r="D750" s="3" t="str">
        <f t="shared" si="159"/>
        <v>次</v>
      </c>
      <c r="E750" s="3" t="str">
        <f t="shared" si="158"/>
        <v>治疗费</v>
      </c>
    </row>
    <row r="751" customHeight="1" spans="1:5">
      <c r="A751" s="5" t="str">
        <f>"神经丛封闭术（腰骶丛）"</f>
        <v>神经丛封闭术（腰骶丛）</v>
      </c>
      <c r="B751" s="3" t="str">
        <f>"311300009-2"</f>
        <v>311300009-2</v>
      </c>
      <c r="C751" s="4">
        <v>46</v>
      </c>
      <c r="D751" s="3">
        <v>1</v>
      </c>
      <c r="E751" s="3" t="str">
        <f t="shared" si="158"/>
        <v>治疗费</v>
      </c>
    </row>
    <row r="752" customHeight="1" spans="1:5">
      <c r="A752" s="5" t="str">
        <f>"神经丛封闭术（臂丛）"</f>
        <v>神经丛封闭术（臂丛）</v>
      </c>
      <c r="B752" s="3" t="str">
        <f>"311300009-3"</f>
        <v>311300009-3</v>
      </c>
      <c r="C752" s="4">
        <v>46</v>
      </c>
      <c r="D752" s="3">
        <v>1</v>
      </c>
      <c r="E752" s="3" t="str">
        <f t="shared" si="158"/>
        <v>治疗费</v>
      </c>
    </row>
    <row r="753" customHeight="1" spans="1:5">
      <c r="A753" s="5" t="str">
        <f>"鞘内封闭"</f>
        <v>鞘内封闭</v>
      </c>
      <c r="B753" s="3" t="str">
        <f>"311300010-1"</f>
        <v>311300010-1</v>
      </c>
      <c r="C753" s="4">
        <v>65</v>
      </c>
      <c r="D753" s="3">
        <v>1</v>
      </c>
      <c r="E753" s="3" t="str">
        <f t="shared" si="158"/>
        <v>治疗费</v>
      </c>
    </row>
    <row r="754" customHeight="1" spans="1:5">
      <c r="A754" s="5" t="str">
        <f>"鞘内注射"</f>
        <v>鞘内注射</v>
      </c>
      <c r="B754" s="3" t="str">
        <f>"311300010-2"</f>
        <v>311300010-2</v>
      </c>
      <c r="C754" s="4">
        <v>65</v>
      </c>
      <c r="D754" s="3" t="str">
        <f t="shared" ref="D754:D770" si="160">"次"</f>
        <v>次</v>
      </c>
      <c r="E754" s="3" t="str">
        <f t="shared" si="158"/>
        <v>治疗费</v>
      </c>
    </row>
    <row r="755" customHeight="1" spans="1:5">
      <c r="A755" s="5" t="str">
        <f>"骶管滴注"</f>
        <v>骶管滴注</v>
      </c>
      <c r="B755" s="3">
        <v>311300011</v>
      </c>
      <c r="C755" s="4">
        <v>91</v>
      </c>
      <c r="D755" s="3" t="str">
        <f t="shared" si="160"/>
        <v>次</v>
      </c>
      <c r="E755" s="3" t="str">
        <f t="shared" si="158"/>
        <v>治疗费</v>
      </c>
    </row>
    <row r="756" customHeight="1" spans="1:5">
      <c r="A756" s="5" t="str">
        <f>"性病检查"</f>
        <v>性病检查</v>
      </c>
      <c r="B756" s="3">
        <v>311400002</v>
      </c>
      <c r="C756" s="4">
        <v>20</v>
      </c>
      <c r="D756" s="3" t="str">
        <f t="shared" si="160"/>
        <v>次</v>
      </c>
      <c r="E756" s="3" t="str">
        <f t="shared" si="158"/>
        <v>治疗费</v>
      </c>
    </row>
    <row r="757" customHeight="1" spans="1:5">
      <c r="A757" s="5" t="str">
        <f>"皮肤活检术"</f>
        <v>皮肤活检术</v>
      </c>
      <c r="B757" s="3">
        <v>311400003</v>
      </c>
      <c r="C757" s="4">
        <v>39</v>
      </c>
      <c r="D757" s="3" t="str">
        <f t="shared" si="160"/>
        <v>次</v>
      </c>
      <c r="E757" s="3" t="str">
        <f t="shared" si="158"/>
        <v>治疗费</v>
      </c>
    </row>
    <row r="758" customHeight="1" spans="1:5">
      <c r="A758" s="5" t="str">
        <f>"皮肤赘生物电烧治疗"</f>
        <v>皮肤赘生物电烧治疗</v>
      </c>
      <c r="B758" s="3">
        <v>311400014</v>
      </c>
      <c r="C758" s="4">
        <v>6.5</v>
      </c>
      <c r="D758" s="3" t="str">
        <f t="shared" si="160"/>
        <v>次</v>
      </c>
      <c r="E758" s="3" t="str">
        <f t="shared" si="158"/>
        <v>治疗费</v>
      </c>
    </row>
    <row r="759" customHeight="1" spans="1:5">
      <c r="A759" s="5" t="str">
        <f>"刮疣治疗"</f>
        <v>刮疣治疗</v>
      </c>
      <c r="B759" s="3">
        <v>311400019</v>
      </c>
      <c r="C759" s="4">
        <v>6.5</v>
      </c>
      <c r="D759" s="3" t="str">
        <f t="shared" si="160"/>
        <v>次</v>
      </c>
      <c r="E759" s="3" t="str">
        <f t="shared" si="158"/>
        <v>治疗费</v>
      </c>
    </row>
    <row r="760" customHeight="1" spans="1:5">
      <c r="A760" s="5" t="str">
        <f>"拔甲治疗"</f>
        <v>拔甲治疗</v>
      </c>
      <c r="B760" s="3">
        <v>311400022</v>
      </c>
      <c r="C760" s="4">
        <v>33</v>
      </c>
      <c r="D760" s="3" t="str">
        <f t="shared" si="160"/>
        <v>次</v>
      </c>
      <c r="E760" s="3" t="str">
        <f t="shared" si="158"/>
        <v>治疗费</v>
      </c>
    </row>
    <row r="761" customHeight="1" spans="1:5">
      <c r="A761" s="5" t="str">
        <f>"皮肤溃疡清创术"</f>
        <v>皮肤溃疡清创术</v>
      </c>
      <c r="B761" s="3">
        <v>311400027</v>
      </c>
      <c r="C761" s="4">
        <v>13</v>
      </c>
      <c r="D761" s="3" t="str">
        <f t="shared" si="160"/>
        <v>次</v>
      </c>
      <c r="E761" s="3" t="str">
        <f>"手术费"</f>
        <v>手术费</v>
      </c>
    </row>
    <row r="762" customHeight="1" spans="1:5">
      <c r="A762" s="5" t="str">
        <f>"鸡眼刮除术"</f>
        <v>鸡眼刮除术</v>
      </c>
      <c r="B762" s="3">
        <v>311400030</v>
      </c>
      <c r="C762" s="4">
        <v>26</v>
      </c>
      <c r="D762" s="3" t="str">
        <f t="shared" si="160"/>
        <v>次</v>
      </c>
      <c r="E762" s="3" t="str">
        <f t="shared" ref="E762:E767" si="161">"治疗费"</f>
        <v>治疗费</v>
      </c>
    </row>
    <row r="763" customHeight="1" spans="1:5">
      <c r="A763" s="5" t="str">
        <f>"二氧化碳(CO2)激光治疗"</f>
        <v>二氧化碳(CO2)激光治疗</v>
      </c>
      <c r="B763" s="3">
        <v>311400033</v>
      </c>
      <c r="C763" s="4">
        <v>26</v>
      </c>
      <c r="D763" s="3" t="str">
        <f t="shared" si="160"/>
        <v>次</v>
      </c>
      <c r="E763" s="3" t="str">
        <f t="shared" si="161"/>
        <v>治疗费</v>
      </c>
    </row>
    <row r="764" customHeight="1" spans="1:5">
      <c r="A764" s="5" t="str">
        <f>"烧伤抢救(大)"</f>
        <v>烧伤抢救(大)</v>
      </c>
      <c r="B764" s="3">
        <v>311400040</v>
      </c>
      <c r="C764" s="4">
        <v>715</v>
      </c>
      <c r="D764" s="3" t="str">
        <f t="shared" si="160"/>
        <v>次</v>
      </c>
      <c r="E764" s="3" t="str">
        <f t="shared" si="161"/>
        <v>治疗费</v>
      </c>
    </row>
    <row r="765" customHeight="1" spans="1:5">
      <c r="A765" s="5" t="str">
        <f>"烧伤抢救(中)"</f>
        <v>烧伤抢救(中)</v>
      </c>
      <c r="B765" s="3">
        <v>311400041</v>
      </c>
      <c r="C765" s="4">
        <v>520</v>
      </c>
      <c r="D765" s="3" t="str">
        <f t="shared" si="160"/>
        <v>次</v>
      </c>
      <c r="E765" s="3" t="str">
        <f t="shared" si="161"/>
        <v>治疗费</v>
      </c>
    </row>
    <row r="766" customHeight="1" spans="1:5">
      <c r="A766" s="5" t="str">
        <f>"烧伤抢救(小)"</f>
        <v>烧伤抢救(小)</v>
      </c>
      <c r="B766" s="3">
        <v>311400042</v>
      </c>
      <c r="C766" s="4">
        <v>390</v>
      </c>
      <c r="D766" s="3" t="str">
        <f t="shared" si="160"/>
        <v>次</v>
      </c>
      <c r="E766" s="3" t="str">
        <f t="shared" si="161"/>
        <v>治疗费</v>
      </c>
    </row>
    <row r="767" customHeight="1" spans="1:5">
      <c r="A767" s="5" t="str">
        <f>"烧伤复合伤抢救"</f>
        <v>烧伤复合伤抢救</v>
      </c>
      <c r="B767" s="3">
        <v>311400043</v>
      </c>
      <c r="C767" s="4">
        <v>520</v>
      </c>
      <c r="D767" s="3" t="str">
        <f t="shared" si="160"/>
        <v>次</v>
      </c>
      <c r="E767" s="3" t="str">
        <f t="shared" si="161"/>
        <v>治疗费</v>
      </c>
    </row>
    <row r="768" customHeight="1" spans="1:5">
      <c r="A768" s="5" t="str">
        <f>"烧伤冲洗清创术(大)"</f>
        <v>烧伤冲洗清创术(大)</v>
      </c>
      <c r="B768" s="3">
        <v>311400044</v>
      </c>
      <c r="C768" s="4">
        <v>325</v>
      </c>
      <c r="D768" s="3" t="str">
        <f t="shared" si="160"/>
        <v>次</v>
      </c>
      <c r="E768" s="3" t="str">
        <f t="shared" ref="E768:E770" si="162">"手术费"</f>
        <v>手术费</v>
      </c>
    </row>
    <row r="769" customHeight="1" spans="1:5">
      <c r="A769" s="5" t="str">
        <f>"烧伤冲洗清创术(中)"</f>
        <v>烧伤冲洗清创术(中)</v>
      </c>
      <c r="B769" s="3">
        <v>311400045</v>
      </c>
      <c r="C769" s="4">
        <v>195</v>
      </c>
      <c r="D769" s="3" t="str">
        <f t="shared" si="160"/>
        <v>次</v>
      </c>
      <c r="E769" s="3" t="str">
        <f t="shared" si="162"/>
        <v>手术费</v>
      </c>
    </row>
    <row r="770" customHeight="1" spans="1:5">
      <c r="A770" s="5" t="str">
        <f>"烧伤冲洗清创术(小)"</f>
        <v>烧伤冲洗清创术(小)</v>
      </c>
      <c r="B770" s="3">
        <v>311400046</v>
      </c>
      <c r="C770" s="4">
        <v>130</v>
      </c>
      <c r="D770" s="3" t="str">
        <f t="shared" si="160"/>
        <v>次</v>
      </c>
      <c r="E770" s="3" t="str">
        <f t="shared" si="162"/>
        <v>手术费</v>
      </c>
    </row>
    <row r="771" customHeight="1" spans="1:5">
      <c r="A771" s="5" t="str">
        <f>"护架烤灯"</f>
        <v>护架烤灯</v>
      </c>
      <c r="B771" s="3">
        <v>311400047</v>
      </c>
      <c r="C771" s="4">
        <v>5.2</v>
      </c>
      <c r="D771" s="3" t="str">
        <f>"千瓦时"</f>
        <v>千瓦时</v>
      </c>
      <c r="E771" s="3" t="str">
        <f t="shared" ref="E771:E777" si="163">"治疗费"</f>
        <v>治疗费</v>
      </c>
    </row>
    <row r="772" customHeight="1" spans="1:5">
      <c r="A772" s="5" t="str">
        <f>"气垫床加收"</f>
        <v>气垫床加收</v>
      </c>
      <c r="B772" s="3" t="str">
        <f>"311400053-a"</f>
        <v>311400053-a</v>
      </c>
      <c r="C772" s="4">
        <v>5</v>
      </c>
      <c r="D772" s="3" t="str">
        <f>"天"</f>
        <v>天</v>
      </c>
      <c r="E772" s="3" t="str">
        <f t="shared" si="163"/>
        <v>治疗费</v>
      </c>
    </row>
    <row r="773" customHeight="1" spans="1:5">
      <c r="A773" s="5" t="str">
        <f>"烧伤换药"</f>
        <v>烧伤换药</v>
      </c>
      <c r="B773" s="3">
        <v>311400056</v>
      </c>
      <c r="C773" s="4">
        <v>26</v>
      </c>
      <c r="D773" s="3" t="str">
        <f>"1%体表面"</f>
        <v>1%体表面</v>
      </c>
      <c r="E773" s="3" t="str">
        <f t="shared" si="163"/>
        <v>治疗费</v>
      </c>
    </row>
    <row r="774" customHeight="1" spans="1:5">
      <c r="A774" s="5" t="str">
        <f>"胰岛素低血糖和休克治疗"</f>
        <v>胰岛素低血糖和休克治疗</v>
      </c>
      <c r="B774" s="3">
        <v>311503007</v>
      </c>
      <c r="C774" s="4">
        <v>39</v>
      </c>
      <c r="D774" s="3" t="str">
        <f t="shared" ref="D774:D776" si="164">"次"</f>
        <v>次</v>
      </c>
      <c r="E774" s="3" t="str">
        <f t="shared" si="163"/>
        <v>治疗费</v>
      </c>
    </row>
    <row r="775" customHeight="1" spans="1:5">
      <c r="A775" s="5" t="str">
        <f>"行为观察和治疗"</f>
        <v>行为观察和治疗</v>
      </c>
      <c r="B775" s="3">
        <v>311503008</v>
      </c>
      <c r="C775" s="4">
        <v>13</v>
      </c>
      <c r="D775" s="3" t="str">
        <f t="shared" si="164"/>
        <v>次</v>
      </c>
      <c r="E775" s="3" t="str">
        <f t="shared" si="163"/>
        <v>治疗费</v>
      </c>
    </row>
    <row r="776" customHeight="1" spans="1:5">
      <c r="A776" s="5" t="str">
        <f>"冲动行为干预治疗"</f>
        <v>冲动行为干预治疗</v>
      </c>
      <c r="B776" s="3">
        <v>311503009</v>
      </c>
      <c r="C776" s="4">
        <v>20</v>
      </c>
      <c r="D776" s="3" t="str">
        <f t="shared" si="164"/>
        <v>次</v>
      </c>
      <c r="E776" s="3" t="str">
        <f t="shared" si="163"/>
        <v>治疗费</v>
      </c>
    </row>
    <row r="777" customHeight="1" spans="1:5">
      <c r="A777" s="5" t="str">
        <f>"行为矫正治疗"</f>
        <v>行为矫正治疗</v>
      </c>
      <c r="B777" s="3">
        <v>311503028</v>
      </c>
      <c r="C777" s="4">
        <v>26</v>
      </c>
      <c r="D777" s="3" t="str">
        <f>"日"</f>
        <v>日</v>
      </c>
      <c r="E777" s="3" t="str">
        <f t="shared" si="163"/>
        <v>治疗费</v>
      </c>
    </row>
    <row r="778" customHeight="1" spans="1:5">
      <c r="A778" s="5" t="str">
        <f>"抗菌薇乔可吸收缝线"</f>
        <v>抗菌薇乔可吸收缝线</v>
      </c>
      <c r="B778" s="3" t="str">
        <f>"33-7-3"</f>
        <v>33-7-3</v>
      </c>
      <c r="C778" s="4">
        <v>29</v>
      </c>
      <c r="D778" s="3" t="str">
        <f>"VCP397H"</f>
        <v>VCP397H</v>
      </c>
      <c r="E778" s="3" t="str">
        <f>"材料费"</f>
        <v>材料费</v>
      </c>
    </row>
    <row r="779" customHeight="1" spans="1:5">
      <c r="A779" s="5" t="str">
        <f>"彭氏多功能手术解剖器"</f>
        <v>彭氏多功能手术解剖器</v>
      </c>
      <c r="B779" s="3" t="str">
        <f>"33-9"</f>
        <v>33-9</v>
      </c>
      <c r="C779" s="4">
        <v>63</v>
      </c>
      <c r="D779" s="3" t="str">
        <f>"SY-ⅢA-1;SY-ⅢA-1长"</f>
        <v>SY-ⅢA-1;SY-ⅢA-1长</v>
      </c>
      <c r="E779" s="3" t="str">
        <f>"材料费"</f>
        <v>材料费</v>
      </c>
    </row>
    <row r="780" customHeight="1" spans="1:5">
      <c r="A780" s="5" t="str">
        <f>"局部浸润麻醉"</f>
        <v>局部浸润麻醉</v>
      </c>
      <c r="B780" s="3">
        <v>330100001</v>
      </c>
      <c r="C780" s="4">
        <v>18</v>
      </c>
      <c r="D780" s="3" t="str">
        <f t="shared" ref="D780:D788" si="165">"次"</f>
        <v>次</v>
      </c>
      <c r="E780" s="3" t="str">
        <f t="shared" ref="E780:E788" si="166">"麻醉费"</f>
        <v>麻醉费</v>
      </c>
    </row>
    <row r="781" customHeight="1" spans="1:5">
      <c r="A781" s="5" t="str">
        <f>"神经阻滞麻醉"</f>
        <v>神经阻滞麻醉</v>
      </c>
      <c r="B781" s="3">
        <v>330100002</v>
      </c>
      <c r="C781" s="4">
        <v>89</v>
      </c>
      <c r="D781" s="3" t="str">
        <f t="shared" si="165"/>
        <v>次</v>
      </c>
      <c r="E781" s="3" t="str">
        <f t="shared" si="166"/>
        <v>麻醉费</v>
      </c>
    </row>
    <row r="782" customHeight="1" spans="1:5">
      <c r="A782" s="5" t="str">
        <f>"神经阻滞麻醉口腔门诊"</f>
        <v>神经阻滞麻醉口腔门诊</v>
      </c>
      <c r="B782" s="3" t="str">
        <f>"330100002-a"</f>
        <v>330100002-a</v>
      </c>
      <c r="C782" s="4">
        <v>36</v>
      </c>
      <c r="D782" s="3" t="str">
        <f t="shared" si="165"/>
        <v>次</v>
      </c>
      <c r="E782" s="3" t="str">
        <f>"治疗费"</f>
        <v>治疗费</v>
      </c>
    </row>
    <row r="783" customHeight="1" spans="1:5">
      <c r="A783" s="5" t="str">
        <f>"椎管内麻醉"</f>
        <v>椎管内麻醉</v>
      </c>
      <c r="B783" s="3">
        <v>330100003</v>
      </c>
      <c r="C783" s="4">
        <v>248</v>
      </c>
      <c r="D783" s="3" t="str">
        <f t="shared" si="165"/>
        <v>次</v>
      </c>
      <c r="E783" s="3" t="str">
        <f t="shared" si="166"/>
        <v>麻醉费</v>
      </c>
    </row>
    <row r="784" customHeight="1" spans="1:5">
      <c r="A784" s="5" t="str">
        <f>"腰麻硬膜外联合阻滞加收"</f>
        <v>腰麻硬膜外联合阻滞加收</v>
      </c>
      <c r="B784" s="3" t="str">
        <f>"330100003-a"</f>
        <v>330100003-a</v>
      </c>
      <c r="C784" s="4">
        <v>60</v>
      </c>
      <c r="D784" s="3" t="str">
        <f t="shared" si="165"/>
        <v>次</v>
      </c>
      <c r="E784" s="3" t="str">
        <f t="shared" si="166"/>
        <v>麻醉费</v>
      </c>
    </row>
    <row r="785" customHeight="1" spans="1:5">
      <c r="A785" s="5" t="str">
        <f>"基础麻醉"</f>
        <v>基础麻醉</v>
      </c>
      <c r="B785" s="3">
        <v>330100004</v>
      </c>
      <c r="C785" s="4">
        <v>89</v>
      </c>
      <c r="D785" s="3" t="str">
        <f t="shared" si="165"/>
        <v>次</v>
      </c>
      <c r="E785" s="3" t="str">
        <f t="shared" si="166"/>
        <v>麻醉费</v>
      </c>
    </row>
    <row r="786" customHeight="1" spans="1:5">
      <c r="A786" s="5" t="str">
        <f>"全身麻醉"</f>
        <v>全身麻醉</v>
      </c>
      <c r="B786" s="3">
        <v>330100005</v>
      </c>
      <c r="C786" s="4">
        <v>378</v>
      </c>
      <c r="D786" s="3" t="str">
        <f t="shared" si="165"/>
        <v>次</v>
      </c>
      <c r="E786" s="3" t="str">
        <f t="shared" si="166"/>
        <v>麻醉费</v>
      </c>
    </row>
    <row r="787" customHeight="1" spans="1:5">
      <c r="A787" s="5" t="str">
        <f>"不插管全身麻醉"</f>
        <v>不插管全身麻醉</v>
      </c>
      <c r="B787" s="3" t="str">
        <f>"330100005-a"</f>
        <v>330100005-a</v>
      </c>
      <c r="C787" s="4">
        <v>184</v>
      </c>
      <c r="D787" s="3" t="str">
        <f t="shared" si="165"/>
        <v>次</v>
      </c>
      <c r="E787" s="3" t="str">
        <f t="shared" si="166"/>
        <v>麻醉费</v>
      </c>
    </row>
    <row r="788" customHeight="1" spans="1:5">
      <c r="A788" s="5" t="str">
        <f>"支气管麻醉"</f>
        <v>支气管麻醉</v>
      </c>
      <c r="B788" s="3">
        <v>330100007</v>
      </c>
      <c r="C788" s="4">
        <v>297</v>
      </c>
      <c r="D788" s="3" t="str">
        <f t="shared" si="165"/>
        <v>次</v>
      </c>
      <c r="E788" s="3" t="str">
        <f t="shared" si="166"/>
        <v>麻醉费</v>
      </c>
    </row>
    <row r="789" customHeight="1" spans="1:5">
      <c r="A789" s="5" t="str">
        <f>"术后镇痛"</f>
        <v>术后镇痛</v>
      </c>
      <c r="B789" s="3">
        <v>330100008</v>
      </c>
      <c r="C789" s="4">
        <v>60</v>
      </c>
      <c r="D789" s="3" t="str">
        <f>"天"</f>
        <v>天</v>
      </c>
      <c r="E789" s="3" t="str">
        <f t="shared" ref="E789:E791" si="167">"手术费"</f>
        <v>手术费</v>
      </c>
    </row>
    <row r="790" customHeight="1" spans="1:5">
      <c r="A790" s="5" t="str">
        <f>"术后镇痛腰麻硬膜外联合阻滞加收"</f>
        <v>术后镇痛腰麻硬膜外联合阻滞加收</v>
      </c>
      <c r="B790" s="3" t="str">
        <f>"330100008-a"</f>
        <v>330100008-a</v>
      </c>
      <c r="C790" s="4">
        <v>48</v>
      </c>
      <c r="D790" s="3" t="str">
        <f t="shared" ref="D790:D793" si="168">"次"</f>
        <v>次</v>
      </c>
      <c r="E790" s="3" t="str">
        <f t="shared" si="167"/>
        <v>手术费</v>
      </c>
    </row>
    <row r="791" customHeight="1" spans="1:5">
      <c r="A791" s="5" t="str">
        <f>"硬膜外连续镇痛"</f>
        <v>硬膜外连续镇痛</v>
      </c>
      <c r="B791" s="3">
        <v>330100010</v>
      </c>
      <c r="C791" s="4">
        <v>60</v>
      </c>
      <c r="D791" s="3" t="str">
        <f>"天"</f>
        <v>天</v>
      </c>
      <c r="E791" s="3" t="str">
        <f t="shared" si="167"/>
        <v>手术费</v>
      </c>
    </row>
    <row r="792" customHeight="1" spans="1:5">
      <c r="A792" s="5" t="str">
        <f>"心肺复苏术"</f>
        <v>心肺复苏术</v>
      </c>
      <c r="B792" s="3">
        <v>330100012</v>
      </c>
      <c r="C792" s="4">
        <v>149</v>
      </c>
      <c r="D792" s="3" t="str">
        <f t="shared" si="168"/>
        <v>次</v>
      </c>
      <c r="E792" s="3" t="str">
        <f>"治疗费"</f>
        <v>治疗费</v>
      </c>
    </row>
    <row r="793" customHeight="1" spans="1:5">
      <c r="A793" s="5" t="str">
        <f>"气管插管术"</f>
        <v>气管插管术</v>
      </c>
      <c r="B793" s="3">
        <v>330100013</v>
      </c>
      <c r="C793" s="4">
        <v>60</v>
      </c>
      <c r="D793" s="3" t="str">
        <f t="shared" si="168"/>
        <v>次</v>
      </c>
      <c r="E793" s="3" t="str">
        <f>"手术治疗费"</f>
        <v>手术治疗费</v>
      </c>
    </row>
    <row r="794" customHeight="1" spans="1:5">
      <c r="A794" s="5" t="str">
        <f>"麻醉中监测"</f>
        <v>麻醉中监测</v>
      </c>
      <c r="B794" s="3">
        <v>330100015</v>
      </c>
      <c r="C794" s="4">
        <v>60</v>
      </c>
      <c r="D794" s="3" t="str">
        <f>"小时"</f>
        <v>小时</v>
      </c>
      <c r="E794" s="3" t="str">
        <f>"麻醉费"</f>
        <v>麻醉费</v>
      </c>
    </row>
    <row r="795" customHeight="1" spans="1:5">
      <c r="A795" s="5" t="str">
        <f>"控制性降压"</f>
        <v>控制性降压</v>
      </c>
      <c r="B795" s="3">
        <v>330100016</v>
      </c>
      <c r="C795" s="4">
        <v>60</v>
      </c>
      <c r="D795" s="3" t="str">
        <f t="shared" ref="D795:D804" si="169">"次"</f>
        <v>次</v>
      </c>
      <c r="E795" s="3" t="str">
        <f t="shared" ref="E795:E804" si="170">"手术费"</f>
        <v>手术费</v>
      </c>
    </row>
    <row r="796" customHeight="1" spans="1:5">
      <c r="A796" s="5" t="str">
        <f>"头皮肿物切除术"</f>
        <v>头皮肿物切除术</v>
      </c>
      <c r="B796" s="3">
        <v>330201001</v>
      </c>
      <c r="C796" s="4">
        <v>108</v>
      </c>
      <c r="D796" s="3" t="str">
        <f t="shared" si="169"/>
        <v>次</v>
      </c>
      <c r="E796" s="3" t="str">
        <f t="shared" si="170"/>
        <v>手术费</v>
      </c>
    </row>
    <row r="797" customHeight="1" spans="1:5">
      <c r="A797" s="5" t="str">
        <f>"头皮肿物切除术直径大于4cm加收"</f>
        <v>头皮肿物切除术直径大于4cm加收</v>
      </c>
      <c r="B797" s="3" t="str">
        <f>"330201001-a"</f>
        <v>330201001-a</v>
      </c>
      <c r="C797" s="4">
        <v>30</v>
      </c>
      <c r="D797" s="3" t="str">
        <f t="shared" si="169"/>
        <v>次</v>
      </c>
      <c r="E797" s="3" t="str">
        <f t="shared" si="170"/>
        <v>手术费</v>
      </c>
    </row>
    <row r="798" customHeight="1" spans="1:5">
      <c r="A798" s="5" t="str">
        <f>"眼睑肿物切除术"</f>
        <v>眼睑肿物切除术</v>
      </c>
      <c r="B798" s="3">
        <v>330401001</v>
      </c>
      <c r="C798" s="4">
        <v>108</v>
      </c>
      <c r="D798" s="3" t="str">
        <f t="shared" si="169"/>
        <v>次</v>
      </c>
      <c r="E798" s="3" t="str">
        <f t="shared" si="170"/>
        <v>手术费</v>
      </c>
    </row>
    <row r="799" customHeight="1" spans="1:5">
      <c r="A799" s="5" t="str">
        <f>"眼睑睫膜裂伤缝合术"</f>
        <v>眼睑睫膜裂伤缝合术</v>
      </c>
      <c r="B799" s="3">
        <v>330401002</v>
      </c>
      <c r="C799" s="4">
        <v>108</v>
      </c>
      <c r="D799" s="3" t="str">
        <f t="shared" si="169"/>
        <v>次</v>
      </c>
      <c r="E799" s="3" t="str">
        <f t="shared" si="170"/>
        <v>手术费</v>
      </c>
    </row>
    <row r="800" customHeight="1" spans="1:5">
      <c r="A800" s="5" t="str">
        <f>"内眦韧带断裂修复术"</f>
        <v>内眦韧带断裂修复术</v>
      </c>
      <c r="B800" s="3">
        <v>330401003</v>
      </c>
      <c r="C800" s="4">
        <v>108</v>
      </c>
      <c r="D800" s="3" t="str">
        <f t="shared" si="169"/>
        <v>次</v>
      </c>
      <c r="E800" s="3" t="str">
        <f t="shared" si="170"/>
        <v>手术费</v>
      </c>
    </row>
    <row r="801" customHeight="1" spans="1:5">
      <c r="A801" s="5" t="str">
        <f>"睑裂缝合术"</f>
        <v>睑裂缝合术</v>
      </c>
      <c r="B801" s="3">
        <v>330401009</v>
      </c>
      <c r="C801" s="4">
        <v>141</v>
      </c>
      <c r="D801" s="3" t="str">
        <f t="shared" si="169"/>
        <v>次</v>
      </c>
      <c r="E801" s="3" t="str">
        <f t="shared" si="170"/>
        <v>手术费</v>
      </c>
    </row>
    <row r="802" customHeight="1" spans="1:5">
      <c r="A802" s="5" t="str">
        <f>"泪小点填塞术"</f>
        <v>泪小点填塞术</v>
      </c>
      <c r="B802" s="3">
        <v>330402010</v>
      </c>
      <c r="C802" s="4">
        <v>54</v>
      </c>
      <c r="D802" s="3" t="str">
        <f t="shared" si="169"/>
        <v>次</v>
      </c>
      <c r="E802" s="3" t="str">
        <f t="shared" si="170"/>
        <v>手术费</v>
      </c>
    </row>
    <row r="803" customHeight="1" spans="1:5">
      <c r="A803" s="5" t="str">
        <f>"泪小点封闭术"</f>
        <v>泪小点封闭术</v>
      </c>
      <c r="B803" s="3">
        <v>330402011</v>
      </c>
      <c r="C803" s="4">
        <v>108</v>
      </c>
      <c r="D803" s="3" t="str">
        <f t="shared" si="169"/>
        <v>次</v>
      </c>
      <c r="E803" s="3" t="str">
        <f t="shared" si="170"/>
        <v>手术费</v>
      </c>
    </row>
    <row r="804" customHeight="1" spans="1:5">
      <c r="A804" s="5" t="str">
        <f>"睑球粘连分离术"</f>
        <v>睑球粘连分离术</v>
      </c>
      <c r="B804" s="3">
        <v>330403001</v>
      </c>
      <c r="C804" s="4">
        <v>284</v>
      </c>
      <c r="D804" s="3" t="str">
        <f t="shared" si="169"/>
        <v>次</v>
      </c>
      <c r="E804" s="3" t="str">
        <f t="shared" si="170"/>
        <v>手术费</v>
      </c>
    </row>
    <row r="805" customHeight="1" spans="1:5">
      <c r="A805" s="5" t="str">
        <f>"结膜肿物切除术"</f>
        <v>结膜肿物切除术</v>
      </c>
      <c r="B805" s="3">
        <v>330403002</v>
      </c>
      <c r="C805" s="4">
        <v>189</v>
      </c>
      <c r="D805" s="3">
        <v>1</v>
      </c>
      <c r="E805" s="3" t="str">
        <f>"手术治疗费"</f>
        <v>手术治疗费</v>
      </c>
    </row>
    <row r="806" customHeight="1" spans="1:5">
      <c r="A806" s="5" t="str">
        <f>"麦粒肿切除术"</f>
        <v>麦粒肿切除术</v>
      </c>
      <c r="B806" s="3">
        <v>330403006</v>
      </c>
      <c r="C806" s="4">
        <v>49</v>
      </c>
      <c r="D806" s="3" t="str">
        <f t="shared" ref="D806:D824" si="171">"次"</f>
        <v>次</v>
      </c>
      <c r="E806" s="3" t="str">
        <f t="shared" ref="E806:E820" si="172">"手术费"</f>
        <v>手术费</v>
      </c>
    </row>
    <row r="807" customHeight="1" spans="1:5">
      <c r="A807" s="5" t="str">
        <f>"角膜拆线"</f>
        <v>角膜拆线</v>
      </c>
      <c r="B807" s="3">
        <v>330404004</v>
      </c>
      <c r="C807" s="4">
        <v>54</v>
      </c>
      <c r="D807" s="3" t="str">
        <f t="shared" si="171"/>
        <v>次</v>
      </c>
      <c r="E807" s="3" t="str">
        <f t="shared" si="172"/>
        <v>手术费</v>
      </c>
    </row>
    <row r="808" customHeight="1" spans="1:5">
      <c r="A808" s="5" t="str">
        <f>"角膜深层异物取出术"</f>
        <v>角膜深层异物取出术</v>
      </c>
      <c r="B808" s="3">
        <v>330404006</v>
      </c>
      <c r="C808" s="4">
        <v>141</v>
      </c>
      <c r="D808" s="3" t="str">
        <f t="shared" si="171"/>
        <v>次</v>
      </c>
      <c r="E808" s="3" t="str">
        <f t="shared" si="172"/>
        <v>手术费</v>
      </c>
    </row>
    <row r="809" customHeight="1" spans="1:5">
      <c r="A809" s="5" t="str">
        <f>"翼状胬肉切除术"</f>
        <v>翼状胬肉切除术</v>
      </c>
      <c r="B809" s="3">
        <v>330404007</v>
      </c>
      <c r="C809" s="4">
        <v>108</v>
      </c>
      <c r="D809" s="3" t="str">
        <f t="shared" si="171"/>
        <v>次</v>
      </c>
      <c r="E809" s="3" t="str">
        <f t="shared" si="172"/>
        <v>手术费</v>
      </c>
    </row>
    <row r="810" customHeight="1" spans="1:5">
      <c r="A810" s="5" t="str">
        <f>"耳廓软骨膜炎清创术"</f>
        <v>耳廓软骨膜炎清创术</v>
      </c>
      <c r="B810" s="3">
        <v>330501001</v>
      </c>
      <c r="C810" s="4">
        <v>162</v>
      </c>
      <c r="D810" s="3" t="str">
        <f t="shared" si="171"/>
        <v>次</v>
      </c>
      <c r="E810" s="3" t="str">
        <f t="shared" si="172"/>
        <v>手术费</v>
      </c>
    </row>
    <row r="811" customHeight="1" spans="1:5">
      <c r="A811" s="5" t="str">
        <f>"耳道异物取出术"</f>
        <v>耳道异物取出术</v>
      </c>
      <c r="B811" s="3">
        <v>330501002</v>
      </c>
      <c r="C811" s="4">
        <v>87</v>
      </c>
      <c r="D811" s="3" t="str">
        <f t="shared" si="171"/>
        <v>次</v>
      </c>
      <c r="E811" s="3" t="str">
        <f t="shared" si="172"/>
        <v>手术费</v>
      </c>
    </row>
    <row r="812" customHeight="1" spans="1:5">
      <c r="A812" s="5" t="str">
        <f>"耳息肉摘除术"</f>
        <v>耳息肉摘除术</v>
      </c>
      <c r="B812" s="3">
        <v>330501005</v>
      </c>
      <c r="C812" s="4">
        <v>216</v>
      </c>
      <c r="D812" s="3" t="str">
        <f t="shared" si="171"/>
        <v>次</v>
      </c>
      <c r="E812" s="3" t="str">
        <f t="shared" si="172"/>
        <v>手术费</v>
      </c>
    </row>
    <row r="813" customHeight="1" spans="1:5">
      <c r="A813" s="5" t="str">
        <f>"耳前瘘管感染切开引流术"</f>
        <v>耳前瘘管感染切开引流术</v>
      </c>
      <c r="B813" s="3">
        <v>330501009</v>
      </c>
      <c r="C813" s="4">
        <v>216</v>
      </c>
      <c r="D813" s="3" t="str">
        <f t="shared" si="171"/>
        <v>次</v>
      </c>
      <c r="E813" s="3" t="str">
        <f t="shared" si="172"/>
        <v>手术费</v>
      </c>
    </row>
    <row r="814" customHeight="1" spans="1:5">
      <c r="A814" s="5" t="str">
        <f>"外耳道良性肿物切除术"</f>
        <v>外耳道良性肿物切除术</v>
      </c>
      <c r="B814" s="3">
        <v>330501010</v>
      </c>
      <c r="C814" s="4">
        <v>216</v>
      </c>
      <c r="D814" s="3" t="str">
        <f t="shared" si="171"/>
        <v>次</v>
      </c>
      <c r="E814" s="3" t="str">
        <f t="shared" si="172"/>
        <v>手术费</v>
      </c>
    </row>
    <row r="815" customHeight="1" spans="1:5">
      <c r="A815" s="5" t="str">
        <f>"外耳道肿物活检术"</f>
        <v>外耳道肿物活检术</v>
      </c>
      <c r="B815" s="3">
        <v>330501011</v>
      </c>
      <c r="C815" s="4">
        <v>97</v>
      </c>
      <c r="D815" s="3" t="str">
        <f t="shared" si="171"/>
        <v>次</v>
      </c>
      <c r="E815" s="3" t="str">
        <f t="shared" si="172"/>
        <v>手术费</v>
      </c>
    </row>
    <row r="816" customHeight="1" spans="1:5">
      <c r="A816" s="5" t="str">
        <f>"外耳道疖脓肿切开引流术"</f>
        <v>外耳道疖脓肿切开引流术</v>
      </c>
      <c r="B816" s="3">
        <v>330501012</v>
      </c>
      <c r="C816" s="4">
        <v>54</v>
      </c>
      <c r="D816" s="3" t="str">
        <f t="shared" si="171"/>
        <v>次</v>
      </c>
      <c r="E816" s="3" t="str">
        <f t="shared" si="172"/>
        <v>手术费</v>
      </c>
    </row>
    <row r="817" customHeight="1" spans="1:5">
      <c r="A817" s="5" t="str">
        <f>"部分断耳再植术"</f>
        <v>部分断耳再植术</v>
      </c>
      <c r="B817" s="3">
        <v>330501015</v>
      </c>
      <c r="C817" s="4">
        <v>972</v>
      </c>
      <c r="D817" s="3" t="str">
        <f t="shared" si="171"/>
        <v>次</v>
      </c>
      <c r="E817" s="3" t="str">
        <f t="shared" si="172"/>
        <v>手术费</v>
      </c>
    </row>
    <row r="818" customHeight="1" spans="1:5">
      <c r="A818" s="5" t="str">
        <f>"鼻外伤清创缝合术"</f>
        <v>鼻外伤清创缝合术</v>
      </c>
      <c r="B818" s="3">
        <v>330601001</v>
      </c>
      <c r="C818" s="4">
        <v>216</v>
      </c>
      <c r="D818" s="3" t="str">
        <f t="shared" si="171"/>
        <v>次</v>
      </c>
      <c r="E818" s="3" t="str">
        <f t="shared" si="172"/>
        <v>手术费</v>
      </c>
    </row>
    <row r="819" customHeight="1" spans="1:5">
      <c r="A819" s="5" t="str">
        <f>"鼻骨骨折整复术"</f>
        <v>鼻骨骨折整复术</v>
      </c>
      <c r="B819" s="3">
        <v>330601002</v>
      </c>
      <c r="C819" s="4">
        <v>216</v>
      </c>
      <c r="D819" s="3" t="str">
        <f t="shared" si="171"/>
        <v>次</v>
      </c>
      <c r="E819" s="3" t="str">
        <f t="shared" si="172"/>
        <v>手术费</v>
      </c>
    </row>
    <row r="820" customHeight="1" spans="1:5">
      <c r="A820" s="5" t="str">
        <f>"鼻部神经封闭术"</f>
        <v>鼻部神经封闭术</v>
      </c>
      <c r="B820" s="3">
        <v>330601006</v>
      </c>
      <c r="C820" s="4">
        <v>141</v>
      </c>
      <c r="D820" s="3" t="str">
        <f t="shared" si="171"/>
        <v>次</v>
      </c>
      <c r="E820" s="3" t="str">
        <f t="shared" si="172"/>
        <v>手术费</v>
      </c>
    </row>
    <row r="821" customHeight="1" spans="1:5">
      <c r="A821" s="5" t="str">
        <f>"鼻腔异物取出术"</f>
        <v>鼻腔异物取出术</v>
      </c>
      <c r="B821" s="3">
        <v>330601007</v>
      </c>
      <c r="C821" s="4">
        <v>54</v>
      </c>
      <c r="D821" s="3" t="str">
        <f t="shared" si="171"/>
        <v>次</v>
      </c>
      <c r="E821" s="3" t="str">
        <f>"治疗费"</f>
        <v>治疗费</v>
      </c>
    </row>
    <row r="822" customHeight="1" spans="1:5">
      <c r="A822" s="5" t="str">
        <f>"下鼻甲部分切除术"</f>
        <v>下鼻甲部分切除术</v>
      </c>
      <c r="B822" s="3">
        <v>330601008</v>
      </c>
      <c r="C822" s="4">
        <v>270</v>
      </c>
      <c r="D822" s="3" t="str">
        <f t="shared" si="171"/>
        <v>次</v>
      </c>
      <c r="E822" s="3" t="str">
        <f t="shared" ref="E822:E831" si="173">"手术费"</f>
        <v>手术费</v>
      </c>
    </row>
    <row r="823" customHeight="1" spans="1:5">
      <c r="A823" s="5" t="str">
        <f>"中鼻甲部分切除术"</f>
        <v>中鼻甲部分切除术</v>
      </c>
      <c r="B823" s="3">
        <v>330601009</v>
      </c>
      <c r="C823" s="4">
        <v>270</v>
      </c>
      <c r="D823" s="3" t="str">
        <f t="shared" si="171"/>
        <v>次</v>
      </c>
      <c r="E823" s="3" t="str">
        <f t="shared" si="173"/>
        <v>手术费</v>
      </c>
    </row>
    <row r="824" customHeight="1" spans="1:5">
      <c r="A824" s="5" t="str">
        <f>"鼻息肉摘除术"</f>
        <v>鼻息肉摘除术</v>
      </c>
      <c r="B824" s="3">
        <v>330601012</v>
      </c>
      <c r="C824" s="4">
        <v>324</v>
      </c>
      <c r="D824" s="3" t="str">
        <f t="shared" si="171"/>
        <v>次</v>
      </c>
      <c r="E824" s="3" t="str">
        <f>"治疗费"</f>
        <v>治疗费</v>
      </c>
    </row>
    <row r="825" customHeight="1" spans="1:5">
      <c r="A825" s="5" t="str">
        <f>"胶质银止血明胶海绵"</f>
        <v>胶质银止血明胶海绵</v>
      </c>
      <c r="B825" s="3" t="str">
        <f>"330604-1"</f>
        <v>330604-1</v>
      </c>
      <c r="C825" s="4">
        <v>29</v>
      </c>
      <c r="D825" s="3" t="str">
        <f>"项"</f>
        <v>项</v>
      </c>
      <c r="E825" s="3" t="str">
        <f>"材料费"</f>
        <v>材料费</v>
      </c>
    </row>
    <row r="826" customHeight="1" spans="1:5">
      <c r="A826" s="5" t="str">
        <f>"乳牙拔除术"</f>
        <v>乳牙拔除术</v>
      </c>
      <c r="B826" s="3">
        <v>330604001</v>
      </c>
      <c r="C826" s="4">
        <v>7.7</v>
      </c>
      <c r="D826" s="3" t="str">
        <f t="shared" ref="D826:D833" si="174">"每牙"</f>
        <v>每牙</v>
      </c>
      <c r="E826" s="3" t="str">
        <f t="shared" si="173"/>
        <v>手术费</v>
      </c>
    </row>
    <row r="827" customHeight="1" spans="1:5">
      <c r="A827" s="5" t="str">
        <f>"前牙拔除术"</f>
        <v>前牙拔除术</v>
      </c>
      <c r="B827" s="3">
        <v>330604002</v>
      </c>
      <c r="C827" s="4">
        <v>16</v>
      </c>
      <c r="D827" s="3" t="str">
        <f t="shared" si="174"/>
        <v>每牙</v>
      </c>
      <c r="E827" s="3" t="str">
        <f t="shared" si="173"/>
        <v>手术费</v>
      </c>
    </row>
    <row r="828" customHeight="1" spans="1:5">
      <c r="A828" s="5" t="str">
        <f>"前磨牙拔除术"</f>
        <v>前磨牙拔除术</v>
      </c>
      <c r="B828" s="3">
        <v>330604003</v>
      </c>
      <c r="C828" s="4">
        <v>22</v>
      </c>
      <c r="D828" s="3" t="str">
        <f t="shared" si="174"/>
        <v>每牙</v>
      </c>
      <c r="E828" s="3" t="str">
        <f t="shared" si="173"/>
        <v>手术费</v>
      </c>
    </row>
    <row r="829" customHeight="1" spans="1:5">
      <c r="A829" s="5" t="str">
        <f>"磨牙拔除术"</f>
        <v>磨牙拔除术</v>
      </c>
      <c r="B829" s="3">
        <v>330604004</v>
      </c>
      <c r="C829" s="4">
        <v>27</v>
      </c>
      <c r="D829" s="3" t="str">
        <f t="shared" si="174"/>
        <v>每牙</v>
      </c>
      <c r="E829" s="3" t="str">
        <f t="shared" si="173"/>
        <v>手术费</v>
      </c>
    </row>
    <row r="830" customHeight="1" spans="1:5">
      <c r="A830" s="5" t="str">
        <f>"复杂牙拔除术"</f>
        <v>复杂牙拔除术</v>
      </c>
      <c r="B830" s="3">
        <v>330604005</v>
      </c>
      <c r="C830" s="4">
        <v>43</v>
      </c>
      <c r="D830" s="3" t="str">
        <f t="shared" si="174"/>
        <v>每牙</v>
      </c>
      <c r="E830" s="3" t="str">
        <f t="shared" si="173"/>
        <v>手术费</v>
      </c>
    </row>
    <row r="831" customHeight="1" spans="1:5">
      <c r="A831" s="5" t="str">
        <f>"阻生牙拔除术"</f>
        <v>阻生牙拔除术</v>
      </c>
      <c r="B831" s="3">
        <v>330604006</v>
      </c>
      <c r="C831" s="4">
        <v>108</v>
      </c>
      <c r="D831" s="3" t="str">
        <f t="shared" si="174"/>
        <v>每牙</v>
      </c>
      <c r="E831" s="3" t="str">
        <f t="shared" si="173"/>
        <v>手术费</v>
      </c>
    </row>
    <row r="832" customHeight="1" spans="1:5">
      <c r="A832" s="5" t="str">
        <f>"拔牙创面搔刮术"</f>
        <v>拔牙创面搔刮术</v>
      </c>
      <c r="B832" s="3">
        <v>330604007</v>
      </c>
      <c r="C832" s="4">
        <v>27</v>
      </c>
      <c r="D832" s="3" t="str">
        <f t="shared" si="174"/>
        <v>每牙</v>
      </c>
      <c r="E832" s="3" t="str">
        <f t="shared" ref="E832:E837" si="175">"治疗费"</f>
        <v>治疗费</v>
      </c>
    </row>
    <row r="833" customHeight="1" spans="1:5">
      <c r="A833" s="5" t="str">
        <f>"牙槽骨修整术"</f>
        <v>牙槽骨修整术</v>
      </c>
      <c r="B833" s="3">
        <v>330604010</v>
      </c>
      <c r="C833" s="4">
        <v>54</v>
      </c>
      <c r="D833" s="3" t="str">
        <f t="shared" si="174"/>
        <v>每牙</v>
      </c>
      <c r="E833" s="3" t="str">
        <f t="shared" ref="E833:E838" si="176">"手术费"</f>
        <v>手术费</v>
      </c>
    </row>
    <row r="834" customHeight="1" spans="1:5">
      <c r="A834" s="5" t="str">
        <f>"阻生智齿龈瓣整形束"</f>
        <v>阻生智齿龈瓣整形束</v>
      </c>
      <c r="B834" s="3">
        <v>330604018</v>
      </c>
      <c r="C834" s="4">
        <v>54</v>
      </c>
      <c r="D834" s="3" t="str">
        <f t="shared" ref="D834:D837" si="177">"-"</f>
        <v>-</v>
      </c>
      <c r="E834" s="3" t="str">
        <f t="shared" si="175"/>
        <v>治疗费</v>
      </c>
    </row>
    <row r="835" customHeight="1" spans="1:5">
      <c r="A835" s="5" t="str">
        <f>"根端囊肿摘除术"</f>
        <v>根端囊肿摘除术</v>
      </c>
      <c r="B835" s="3">
        <v>330604022</v>
      </c>
      <c r="C835" s="4">
        <v>162</v>
      </c>
      <c r="D835" s="3" t="str">
        <f t="shared" ref="D835:D842" si="178">"每牙"</f>
        <v>每牙</v>
      </c>
      <c r="E835" s="3" t="str">
        <f t="shared" si="176"/>
        <v>手术费</v>
      </c>
    </row>
    <row r="836" customHeight="1" spans="1:5">
      <c r="A836" s="5" t="str">
        <f>"根尖切除术"</f>
        <v>根尖切除术</v>
      </c>
      <c r="B836" s="3">
        <v>330604026</v>
      </c>
      <c r="C836" s="4">
        <v>162</v>
      </c>
      <c r="D836" s="3" t="str">
        <f t="shared" si="177"/>
        <v>-</v>
      </c>
      <c r="E836" s="3" t="str">
        <f t="shared" si="175"/>
        <v>治疗费</v>
      </c>
    </row>
    <row r="837" customHeight="1" spans="1:5">
      <c r="A837" s="5" t="str">
        <f>"根尖搔刮术"</f>
        <v>根尖搔刮术</v>
      </c>
      <c r="B837" s="3">
        <v>330604027</v>
      </c>
      <c r="C837" s="4">
        <v>87</v>
      </c>
      <c r="D837" s="3" t="str">
        <f t="shared" si="177"/>
        <v>-</v>
      </c>
      <c r="E837" s="3" t="str">
        <f t="shared" si="175"/>
        <v>治疗费</v>
      </c>
    </row>
    <row r="838" customHeight="1" spans="1:5">
      <c r="A838" s="5" t="str">
        <f>"牙龈翻瓣术"</f>
        <v>牙龈翻瓣术</v>
      </c>
      <c r="B838" s="3">
        <v>330604029</v>
      </c>
      <c r="C838" s="4">
        <v>97</v>
      </c>
      <c r="D838" s="3" t="str">
        <f t="shared" si="178"/>
        <v>每牙</v>
      </c>
      <c r="E838" s="3" t="str">
        <f t="shared" si="176"/>
        <v>手术费</v>
      </c>
    </row>
    <row r="839" customHeight="1" spans="1:5">
      <c r="A839" s="5" t="str">
        <f>"牙龈切除术"</f>
        <v>牙龈切除术</v>
      </c>
      <c r="B839" s="3">
        <v>330604031</v>
      </c>
      <c r="C839" s="4">
        <v>43</v>
      </c>
      <c r="D839" s="3" t="str">
        <f>"-"</f>
        <v>-</v>
      </c>
      <c r="E839" s="3" t="str">
        <f>"治疗费"</f>
        <v>治疗费</v>
      </c>
    </row>
    <row r="840" customHeight="1" spans="1:5">
      <c r="A840" s="5" t="str">
        <f>"牙冠延长术"</f>
        <v>牙冠延长术</v>
      </c>
      <c r="B840" s="3">
        <v>330604034</v>
      </c>
      <c r="C840" s="4">
        <v>87</v>
      </c>
      <c r="D840" s="3" t="str">
        <f t="shared" si="178"/>
        <v>每牙</v>
      </c>
      <c r="E840" s="3" t="str">
        <f t="shared" ref="E840:E876" si="179">"手术费"</f>
        <v>手术费</v>
      </c>
    </row>
    <row r="841" customHeight="1" spans="1:5">
      <c r="A841" s="5" t="str">
        <f>"截根术"</f>
        <v>截根术</v>
      </c>
      <c r="B841" s="3">
        <v>330604037</v>
      </c>
      <c r="C841" s="4">
        <v>108</v>
      </c>
      <c r="D841" s="3" t="str">
        <f t="shared" si="178"/>
        <v>每牙</v>
      </c>
      <c r="E841" s="3" t="str">
        <f t="shared" si="179"/>
        <v>手术费</v>
      </c>
    </row>
    <row r="842" customHeight="1" spans="1:5">
      <c r="A842" s="5" t="str">
        <f>"分根术"</f>
        <v>分根术</v>
      </c>
      <c r="B842" s="3">
        <v>330604038</v>
      </c>
      <c r="C842" s="4">
        <v>76</v>
      </c>
      <c r="D842" s="3" t="str">
        <f t="shared" si="178"/>
        <v>每牙</v>
      </c>
      <c r="E842" s="3" t="str">
        <f>"治疗费"</f>
        <v>治疗费</v>
      </c>
    </row>
    <row r="843" customHeight="1" spans="1:5">
      <c r="A843" s="5" t="str">
        <f>"口腔颌面部小肿物切除术"</f>
        <v>口腔颌面部小肿物切除术</v>
      </c>
      <c r="B843" s="3">
        <v>330605001</v>
      </c>
      <c r="C843" s="4">
        <v>54</v>
      </c>
      <c r="D843" s="3" t="str">
        <f t="shared" ref="D843:D848" si="180">"次"</f>
        <v>次</v>
      </c>
      <c r="E843" s="3" t="str">
        <f t="shared" si="179"/>
        <v>手术费</v>
      </c>
    </row>
    <row r="844" customHeight="1" spans="1:5">
      <c r="A844" s="5" t="str">
        <f>"系带成形术"</f>
        <v>系带成形术</v>
      </c>
      <c r="B844" s="3">
        <v>330606001</v>
      </c>
      <c r="C844" s="4">
        <v>97</v>
      </c>
      <c r="D844" s="3" t="str">
        <f t="shared" si="180"/>
        <v>次</v>
      </c>
      <c r="E844" s="3" t="str">
        <f t="shared" si="179"/>
        <v>手术费</v>
      </c>
    </row>
    <row r="845" customHeight="1" spans="1:5">
      <c r="A845" s="5" t="str">
        <f>"唇缺损修复术"</f>
        <v>唇缺损修复术</v>
      </c>
      <c r="B845" s="3">
        <v>330606010</v>
      </c>
      <c r="C845" s="4">
        <v>540</v>
      </c>
      <c r="D845" s="3" t="str">
        <f t="shared" si="180"/>
        <v>次</v>
      </c>
      <c r="E845" s="3" t="str">
        <f t="shared" si="179"/>
        <v>手术费</v>
      </c>
    </row>
    <row r="846" customHeight="1" spans="1:5">
      <c r="A846" s="5" t="str">
        <f>"口腔颌面软组织清创术(大)"</f>
        <v>口腔颌面软组织清创术(大)</v>
      </c>
      <c r="B846" s="3">
        <v>330608001</v>
      </c>
      <c r="C846" s="4">
        <v>432</v>
      </c>
      <c r="D846" s="3" t="str">
        <f t="shared" si="180"/>
        <v>次</v>
      </c>
      <c r="E846" s="3" t="str">
        <f t="shared" si="179"/>
        <v>手术费</v>
      </c>
    </row>
    <row r="847" customHeight="1" spans="1:5">
      <c r="A847" s="5" t="str">
        <f>"口腔颌面软组织清创术(中)"</f>
        <v>口腔颌面软组织清创术(中)</v>
      </c>
      <c r="B847" s="3">
        <v>330608002</v>
      </c>
      <c r="C847" s="4">
        <v>284</v>
      </c>
      <c r="D847" s="3" t="str">
        <f t="shared" si="180"/>
        <v>次</v>
      </c>
      <c r="E847" s="3" t="str">
        <f t="shared" si="179"/>
        <v>手术费</v>
      </c>
    </row>
    <row r="848" customHeight="1" spans="1:5">
      <c r="A848" s="5" t="str">
        <f>"口腔颌面软组织清创术(小)"</f>
        <v>口腔颌面软组织清创术(小)</v>
      </c>
      <c r="B848" s="3">
        <v>330608003</v>
      </c>
      <c r="C848" s="4">
        <v>108</v>
      </c>
      <c r="D848" s="3" t="str">
        <f t="shared" si="180"/>
        <v>次</v>
      </c>
      <c r="E848" s="3" t="str">
        <f t="shared" si="179"/>
        <v>手术费</v>
      </c>
    </row>
    <row r="849" customHeight="1" spans="1:5">
      <c r="A849" s="5" t="str">
        <f>"颌骨骨折单颌牙弓夹板固定术"</f>
        <v>颌骨骨折单颌牙弓夹板固定术</v>
      </c>
      <c r="B849" s="3">
        <v>330608004</v>
      </c>
      <c r="C849" s="4">
        <v>216</v>
      </c>
      <c r="D849" s="3" t="str">
        <f>"单颌"</f>
        <v>单颌</v>
      </c>
      <c r="E849" s="3" t="str">
        <f t="shared" si="179"/>
        <v>手术费</v>
      </c>
    </row>
    <row r="850" customHeight="1" spans="1:5">
      <c r="A850" s="5" t="str">
        <f>"单颌牙弓夹板拆除术"</f>
        <v>单颌牙弓夹板拆除术</v>
      </c>
      <c r="B850" s="3">
        <v>330608017</v>
      </c>
      <c r="C850" s="4">
        <v>16</v>
      </c>
      <c r="D850" s="3" t="str">
        <f>"单颌"</f>
        <v>单颌</v>
      </c>
      <c r="E850" s="3" t="str">
        <f t="shared" si="179"/>
        <v>手术费</v>
      </c>
    </row>
    <row r="851" customHeight="1" spans="1:5">
      <c r="A851" s="5" t="str">
        <f>"扁桃体周围脓肿切开引流术"</f>
        <v>扁桃体周围脓肿切开引流术</v>
      </c>
      <c r="B851" s="3">
        <v>330610004</v>
      </c>
      <c r="C851" s="4">
        <v>108</v>
      </c>
      <c r="D851" s="3" t="str">
        <f t="shared" ref="D851:D855" si="181">"次"</f>
        <v>次</v>
      </c>
      <c r="E851" s="3" t="str">
        <f t="shared" si="179"/>
        <v>手术费</v>
      </c>
    </row>
    <row r="852" customHeight="1" spans="1:5">
      <c r="A852" s="5" t="str">
        <f>"气管切开术"</f>
        <v>气管切开术</v>
      </c>
      <c r="B852" s="3">
        <v>330701005</v>
      </c>
      <c r="C852" s="4">
        <v>432</v>
      </c>
      <c r="D852" s="3" t="str">
        <f t="shared" si="181"/>
        <v>次</v>
      </c>
      <c r="E852" s="3" t="str">
        <f t="shared" si="179"/>
        <v>手术费</v>
      </c>
    </row>
    <row r="853" customHeight="1" spans="1:5">
      <c r="A853" s="5" t="str">
        <f>"肋（软）骨切除术"</f>
        <v>肋（软）骨切除术</v>
      </c>
      <c r="B853" s="3">
        <v>330703006</v>
      </c>
      <c r="C853" s="4">
        <v>756</v>
      </c>
      <c r="D853" s="3" t="str">
        <f t="shared" si="181"/>
        <v>次</v>
      </c>
      <c r="E853" s="3" t="str">
        <f t="shared" si="179"/>
        <v>手术费</v>
      </c>
    </row>
    <row r="854" customHeight="1" spans="1:5">
      <c r="A854" s="5" t="str">
        <f>"胸骨牵引术"</f>
        <v>胸骨牵引术</v>
      </c>
      <c r="B854" s="3">
        <v>330703010</v>
      </c>
      <c r="C854" s="4">
        <v>756</v>
      </c>
      <c r="D854" s="3" t="str">
        <f t="shared" si="181"/>
        <v>次</v>
      </c>
      <c r="E854" s="3" t="str">
        <f t="shared" si="179"/>
        <v>手术费</v>
      </c>
    </row>
    <row r="855" customHeight="1" spans="1:5">
      <c r="A855" s="5" t="str">
        <f>"胸壁外伤扩创术"</f>
        <v>胸壁外伤扩创术</v>
      </c>
      <c r="B855" s="3">
        <v>330703011</v>
      </c>
      <c r="C855" s="4">
        <v>756</v>
      </c>
      <c r="D855" s="3" t="str">
        <f t="shared" si="181"/>
        <v>次</v>
      </c>
      <c r="E855" s="3" t="str">
        <f t="shared" si="179"/>
        <v>手术费</v>
      </c>
    </row>
    <row r="856" customHeight="1" spans="1:5">
      <c r="A856" s="5" t="str">
        <f>"大隐静脉高位结扎+剥脱术"</f>
        <v>大隐静脉高位结扎+剥脱术</v>
      </c>
      <c r="B856" s="3">
        <v>330804062</v>
      </c>
      <c r="C856" s="4">
        <v>864</v>
      </c>
      <c r="D856" s="3" t="str">
        <f>"侧"</f>
        <v>侧</v>
      </c>
      <c r="E856" s="3" t="str">
        <f t="shared" si="179"/>
        <v>手术费</v>
      </c>
    </row>
    <row r="857" customHeight="1" spans="1:5">
      <c r="A857" s="5" t="str">
        <f>"脾部分切除术"</f>
        <v>脾部分切除术</v>
      </c>
      <c r="B857" s="3">
        <v>330900016</v>
      </c>
      <c r="C857" s="4">
        <v>756</v>
      </c>
      <c r="D857" s="3" t="str">
        <f t="shared" ref="D857:D865" si="182">"次"</f>
        <v>次</v>
      </c>
      <c r="E857" s="3" t="str">
        <f t="shared" si="179"/>
        <v>手术费</v>
      </c>
    </row>
    <row r="858" customHeight="1" spans="1:5">
      <c r="A858" s="5" t="str">
        <f>"脾修补术"</f>
        <v>脾修补术</v>
      </c>
      <c r="B858" s="3">
        <v>330900017</v>
      </c>
      <c r="C858" s="4">
        <v>756</v>
      </c>
      <c r="D858" s="3" t="str">
        <f t="shared" si="182"/>
        <v>次</v>
      </c>
      <c r="E858" s="3" t="str">
        <f t="shared" si="179"/>
        <v>手术费</v>
      </c>
    </row>
    <row r="859" customHeight="1" spans="1:5">
      <c r="A859" s="5" t="str">
        <f>"脾切除术"</f>
        <v>脾切除术</v>
      </c>
      <c r="B859" s="3">
        <v>330900018</v>
      </c>
      <c r="C859" s="4">
        <v>1080</v>
      </c>
      <c r="D859" s="3" t="str">
        <f t="shared" si="182"/>
        <v>次</v>
      </c>
      <c r="E859" s="3" t="str">
        <f t="shared" si="179"/>
        <v>手术费</v>
      </c>
    </row>
    <row r="860" customHeight="1" spans="1:5">
      <c r="A860" s="5" t="str">
        <f>"胃肠切开取异物"</f>
        <v>胃肠切开取异物</v>
      </c>
      <c r="B860" s="3">
        <v>331002001</v>
      </c>
      <c r="C860" s="4">
        <v>756</v>
      </c>
      <c r="D860" s="3" t="str">
        <f t="shared" si="182"/>
        <v>次</v>
      </c>
      <c r="E860" s="3" t="str">
        <f t="shared" si="179"/>
        <v>手术费</v>
      </c>
    </row>
    <row r="861" customHeight="1" spans="1:5">
      <c r="A861" s="5" t="str">
        <f>"胃出血切开缝扎止血术"</f>
        <v>胃出血切开缝扎止血术</v>
      </c>
      <c r="B861" s="3">
        <v>331002002</v>
      </c>
      <c r="C861" s="4">
        <v>756</v>
      </c>
      <c r="D861" s="3" t="str">
        <f t="shared" si="182"/>
        <v>次</v>
      </c>
      <c r="E861" s="3" t="str">
        <f t="shared" si="179"/>
        <v>手术费</v>
      </c>
    </row>
    <row r="862" customHeight="1" spans="1:5">
      <c r="A862" s="5" t="str">
        <f>"近端胃大部切除术"</f>
        <v>近端胃大部切除术</v>
      </c>
      <c r="B862" s="3">
        <v>331002003</v>
      </c>
      <c r="C862" s="4">
        <v>1400</v>
      </c>
      <c r="D862" s="3" t="str">
        <f t="shared" si="182"/>
        <v>次</v>
      </c>
      <c r="E862" s="3" t="str">
        <f t="shared" si="179"/>
        <v>手术费</v>
      </c>
    </row>
    <row r="863" customHeight="1" spans="1:5">
      <c r="A863" s="5" t="str">
        <f>"远端胃大部切除术"</f>
        <v>远端胃大部切除术</v>
      </c>
      <c r="B863" s="3">
        <v>331002004</v>
      </c>
      <c r="C863" s="4">
        <v>1300</v>
      </c>
      <c r="D863" s="3" t="str">
        <f t="shared" si="182"/>
        <v>次</v>
      </c>
      <c r="E863" s="3" t="str">
        <f t="shared" si="179"/>
        <v>手术费</v>
      </c>
    </row>
    <row r="864" customHeight="1" spans="1:5">
      <c r="A864" s="5" t="str">
        <f>"全胃切除术"</f>
        <v>全胃切除术</v>
      </c>
      <c r="B864" s="3">
        <v>331002008</v>
      </c>
      <c r="C864" s="4">
        <v>1510</v>
      </c>
      <c r="D864" s="3" t="str">
        <f t="shared" si="182"/>
        <v>次</v>
      </c>
      <c r="E864" s="3" t="str">
        <f t="shared" si="179"/>
        <v>手术费</v>
      </c>
    </row>
    <row r="865" customHeight="1" spans="1:5">
      <c r="A865" s="5" t="str">
        <f>"胃肠造瘘术"</f>
        <v>胃肠造瘘术</v>
      </c>
      <c r="B865" s="3">
        <v>331002009</v>
      </c>
      <c r="C865" s="4">
        <v>540</v>
      </c>
      <c r="D865" s="3" t="str">
        <f t="shared" si="182"/>
        <v>次</v>
      </c>
      <c r="E865" s="3" t="str">
        <f t="shared" si="179"/>
        <v>手术费</v>
      </c>
    </row>
    <row r="866" customHeight="1" spans="1:5">
      <c r="A866" s="5" t="str">
        <f>"胃肠穿孔补术"</f>
        <v>胃肠穿孔补术</v>
      </c>
      <c r="B866" s="3">
        <v>331002011</v>
      </c>
      <c r="C866" s="4">
        <v>540</v>
      </c>
      <c r="D866" s="3">
        <v>1</v>
      </c>
      <c r="E866" s="3" t="str">
        <f t="shared" si="179"/>
        <v>手术费</v>
      </c>
    </row>
    <row r="867" customHeight="1" spans="1:5">
      <c r="A867" s="5" t="str">
        <f>"小儿原发性肠套叠手术复位"</f>
        <v>小儿原发性肠套叠手术复位</v>
      </c>
      <c r="B867" s="3">
        <v>331003005</v>
      </c>
      <c r="C867" s="4">
        <v>756</v>
      </c>
      <c r="D867" s="3" t="str">
        <f t="shared" ref="D867:D871" si="183">"次"</f>
        <v>次</v>
      </c>
      <c r="E867" s="3" t="str">
        <f t="shared" si="179"/>
        <v>手术费</v>
      </c>
    </row>
    <row r="868" customHeight="1" spans="1:5">
      <c r="A868" s="5" t="str">
        <f>"肠扭转肠套叠复位术"</f>
        <v>肠扭转肠套叠复位术</v>
      </c>
      <c r="B868" s="3">
        <v>331003006</v>
      </c>
      <c r="C868" s="4">
        <v>864</v>
      </c>
      <c r="D868" s="3" t="str">
        <f t="shared" si="183"/>
        <v>次</v>
      </c>
      <c r="E868" s="3" t="str">
        <f t="shared" si="179"/>
        <v>手术费</v>
      </c>
    </row>
    <row r="869" customHeight="1" spans="1:5">
      <c r="A869" s="5" t="str">
        <f>"肠切除术"</f>
        <v>肠切除术</v>
      </c>
      <c r="B869" s="3">
        <v>331003007</v>
      </c>
      <c r="C869" s="4">
        <v>1080</v>
      </c>
      <c r="D869" s="3" t="str">
        <f t="shared" si="183"/>
        <v>次</v>
      </c>
      <c r="E869" s="3" t="str">
        <f t="shared" si="179"/>
        <v>手术费</v>
      </c>
    </row>
    <row r="870" customHeight="1" spans="1:5">
      <c r="A870" s="5" t="str">
        <f>"肠粘连松解术"</f>
        <v>肠粘连松解术</v>
      </c>
      <c r="B870" s="3">
        <v>331003008</v>
      </c>
      <c r="C870" s="4">
        <v>1080</v>
      </c>
      <c r="D870" s="3" t="str">
        <f t="shared" si="183"/>
        <v>次</v>
      </c>
      <c r="E870" s="3" t="str">
        <f t="shared" si="179"/>
        <v>手术费</v>
      </c>
    </row>
    <row r="871" customHeight="1" spans="1:5">
      <c r="A871" s="5" t="str">
        <f>"肠造瘘还纳术"</f>
        <v>肠造瘘还纳术</v>
      </c>
      <c r="B871" s="3">
        <v>331003011</v>
      </c>
      <c r="C871" s="4">
        <v>648</v>
      </c>
      <c r="D871" s="3" t="str">
        <f t="shared" si="183"/>
        <v>次</v>
      </c>
      <c r="E871" s="3" t="str">
        <f t="shared" si="179"/>
        <v>手术费</v>
      </c>
    </row>
    <row r="872" customHeight="1" spans="1:5">
      <c r="A872" s="5" t="str">
        <f>"结肠造瘘术"</f>
        <v>结肠造瘘术</v>
      </c>
      <c r="B872" s="3">
        <v>331003017</v>
      </c>
      <c r="C872" s="4">
        <v>648</v>
      </c>
      <c r="D872" s="3">
        <v>1</v>
      </c>
      <c r="E872" s="3" t="str">
        <f t="shared" si="179"/>
        <v>手术费</v>
      </c>
    </row>
    <row r="873" customHeight="1" spans="1:5">
      <c r="A873" s="5" t="str">
        <f>"结肠癌根治术"</f>
        <v>结肠癌根治术</v>
      </c>
      <c r="B873" s="3">
        <v>331003020</v>
      </c>
      <c r="C873" s="4">
        <v>1400</v>
      </c>
      <c r="D873" s="3" t="str">
        <f t="shared" ref="D873:D885" si="184">"次"</f>
        <v>次</v>
      </c>
      <c r="E873" s="3" t="str">
        <f t="shared" si="179"/>
        <v>手术费</v>
      </c>
    </row>
    <row r="874" customHeight="1" spans="1:5">
      <c r="A874" s="5" t="str">
        <f>"阑尾切除术"</f>
        <v>阑尾切除术</v>
      </c>
      <c r="B874" s="3">
        <v>331003022</v>
      </c>
      <c r="C874" s="4">
        <v>540</v>
      </c>
      <c r="D874" s="3" t="str">
        <f t="shared" si="184"/>
        <v>次</v>
      </c>
      <c r="E874" s="3" t="str">
        <f t="shared" si="179"/>
        <v>手术费</v>
      </c>
    </row>
    <row r="875" customHeight="1" spans="1:5">
      <c r="A875" s="5" t="str">
        <f>"直肠出血缝扎术"</f>
        <v>直肠出血缝扎术</v>
      </c>
      <c r="B875" s="3">
        <v>331004001</v>
      </c>
      <c r="C875" s="4">
        <v>378</v>
      </c>
      <c r="D875" s="3" t="str">
        <f t="shared" si="184"/>
        <v>次</v>
      </c>
      <c r="E875" s="3" t="str">
        <f t="shared" si="179"/>
        <v>手术费</v>
      </c>
    </row>
    <row r="876" customHeight="1" spans="1:5">
      <c r="A876" s="5" t="str">
        <f>"直肠良性肿物切除术"</f>
        <v>直肠良性肿物切除术</v>
      </c>
      <c r="B876" s="3">
        <v>331004002</v>
      </c>
      <c r="C876" s="4">
        <v>540</v>
      </c>
      <c r="D876" s="3" t="str">
        <f t="shared" si="184"/>
        <v>次</v>
      </c>
      <c r="E876" s="3" t="str">
        <f t="shared" si="179"/>
        <v>手术费</v>
      </c>
    </row>
    <row r="877" customHeight="1" spans="1:5">
      <c r="A877" s="5" t="str">
        <f>"经内镜直肠良性肿物切除术"</f>
        <v>经内镜直肠良性肿物切除术</v>
      </c>
      <c r="B877" s="3">
        <v>331004003</v>
      </c>
      <c r="C877" s="4">
        <v>756</v>
      </c>
      <c r="D877" s="3" t="str">
        <f t="shared" si="184"/>
        <v>次</v>
      </c>
      <c r="E877" s="3" t="str">
        <f>"胃镜费"</f>
        <v>胃镜费</v>
      </c>
    </row>
    <row r="878" customHeight="1" spans="1:5">
      <c r="A878" s="5" t="str">
        <f>"直肠狭窄扩张术"</f>
        <v>直肠狭窄扩张术</v>
      </c>
      <c r="B878" s="3">
        <v>331004004</v>
      </c>
      <c r="C878" s="4">
        <v>540</v>
      </c>
      <c r="D878" s="3" t="str">
        <f t="shared" si="184"/>
        <v>次</v>
      </c>
      <c r="E878" s="3" t="str">
        <f t="shared" ref="E878:E941" si="185">"手术费"</f>
        <v>手术费</v>
      </c>
    </row>
    <row r="879" customHeight="1" spans="1:5">
      <c r="A879" s="5" t="str">
        <f>"直肠后间隙切开术"</f>
        <v>直肠后间隙切开术</v>
      </c>
      <c r="B879" s="3">
        <v>331004005</v>
      </c>
      <c r="C879" s="4">
        <v>540</v>
      </c>
      <c r="D879" s="3" t="str">
        <f t="shared" si="184"/>
        <v>次</v>
      </c>
      <c r="E879" s="3" t="str">
        <f t="shared" si="185"/>
        <v>手术费</v>
      </c>
    </row>
    <row r="880" customHeight="1" spans="1:5">
      <c r="A880" s="5" t="str">
        <f>"直肠前壁切除缝合术"</f>
        <v>直肠前壁切除缝合术</v>
      </c>
      <c r="B880" s="3">
        <v>331004006</v>
      </c>
      <c r="C880" s="4">
        <v>648</v>
      </c>
      <c r="D880" s="3" t="str">
        <f t="shared" si="184"/>
        <v>次</v>
      </c>
      <c r="E880" s="3" t="str">
        <f t="shared" si="185"/>
        <v>手术费</v>
      </c>
    </row>
    <row r="881" customHeight="1" spans="1:5">
      <c r="A881" s="5" t="str">
        <f>"直肠前突开放式修补术"</f>
        <v>直肠前突开放式修补术</v>
      </c>
      <c r="B881" s="3">
        <v>331004007</v>
      </c>
      <c r="C881" s="4">
        <v>648</v>
      </c>
      <c r="D881" s="3" t="str">
        <f t="shared" si="184"/>
        <v>次</v>
      </c>
      <c r="E881" s="3" t="str">
        <f t="shared" si="185"/>
        <v>手术费</v>
      </c>
    </row>
    <row r="882" customHeight="1" spans="1:5">
      <c r="A882" s="5" t="str">
        <f>"直肠肛门假性憩室切除术"</f>
        <v>直肠肛门假性憩室切除术</v>
      </c>
      <c r="B882" s="3">
        <v>331004008</v>
      </c>
      <c r="C882" s="4">
        <v>648</v>
      </c>
      <c r="D882" s="3" t="str">
        <f t="shared" si="184"/>
        <v>次</v>
      </c>
      <c r="E882" s="3" t="str">
        <f t="shared" si="185"/>
        <v>手术费</v>
      </c>
    </row>
    <row r="883" customHeight="1" spans="1:5">
      <c r="A883" s="5" t="str">
        <f>"直肠肛门周围脓肿切开排脓术"</f>
        <v>直肠肛门周围脓肿切开排脓术</v>
      </c>
      <c r="B883" s="3">
        <v>331004009</v>
      </c>
      <c r="C883" s="4">
        <v>284</v>
      </c>
      <c r="D883" s="3" t="str">
        <f t="shared" si="184"/>
        <v>次</v>
      </c>
      <c r="E883" s="3" t="str">
        <f t="shared" si="185"/>
        <v>手术费</v>
      </c>
    </row>
    <row r="884" customHeight="1" spans="1:5">
      <c r="A884" s="5" t="str">
        <f>"肛周常见疾病手术治疗"</f>
        <v>肛周常见疾病手术治疗</v>
      </c>
      <c r="B884" s="3">
        <v>331004020</v>
      </c>
      <c r="C884" s="4">
        <v>432</v>
      </c>
      <c r="D884" s="3" t="str">
        <f t="shared" si="184"/>
        <v>次</v>
      </c>
      <c r="E884" s="3" t="str">
        <f t="shared" si="185"/>
        <v>手术费</v>
      </c>
    </row>
    <row r="885" customHeight="1" spans="1:5">
      <c r="A885" s="5" t="str">
        <f>"低位肛瘘切除术"</f>
        <v>低位肛瘘切除术</v>
      </c>
      <c r="B885" s="3">
        <v>331004021</v>
      </c>
      <c r="C885" s="4">
        <v>432</v>
      </c>
      <c r="D885" s="3" t="str">
        <f t="shared" si="184"/>
        <v>次</v>
      </c>
      <c r="E885" s="3" t="str">
        <f t="shared" si="185"/>
        <v>手术费</v>
      </c>
    </row>
    <row r="886" customHeight="1" spans="1:5">
      <c r="A886" s="5" t="str">
        <f>"复杂肛瘘切除术"</f>
        <v>复杂肛瘘切除术</v>
      </c>
      <c r="B886" s="3">
        <v>331004022</v>
      </c>
      <c r="C886" s="4">
        <v>540</v>
      </c>
      <c r="D886" s="3">
        <v>1</v>
      </c>
      <c r="E886" s="3" t="str">
        <f t="shared" si="185"/>
        <v>手术费</v>
      </c>
    </row>
    <row r="887" customHeight="1" spans="1:5">
      <c r="A887" s="5" t="str">
        <f>"混合痔嵌顿手法松解回纳术"</f>
        <v>混合痔嵌顿手法松解回纳术</v>
      </c>
      <c r="B887" s="3">
        <v>331004023</v>
      </c>
      <c r="C887" s="4">
        <v>540</v>
      </c>
      <c r="D887" s="3" t="str">
        <f t="shared" ref="D887:D892" si="186">"次"</f>
        <v>次</v>
      </c>
      <c r="E887" s="3" t="str">
        <f t="shared" si="185"/>
        <v>手术费</v>
      </c>
    </row>
    <row r="888" customHeight="1" spans="1:5">
      <c r="A888" s="5" t="str">
        <f>"内痔环切术"</f>
        <v>内痔环切术</v>
      </c>
      <c r="B888" s="3">
        <v>331004024</v>
      </c>
      <c r="C888" s="4">
        <v>540</v>
      </c>
      <c r="D888" s="3" t="str">
        <f t="shared" si="186"/>
        <v>次</v>
      </c>
      <c r="E888" s="3" t="str">
        <f t="shared" si="185"/>
        <v>手术费</v>
      </c>
    </row>
    <row r="889" customHeight="1" spans="1:5">
      <c r="A889" s="5" t="str">
        <f>"肛门内括约肌侧切术"</f>
        <v>肛门内括约肌侧切术</v>
      </c>
      <c r="B889" s="3">
        <v>331004025</v>
      </c>
      <c r="C889" s="4">
        <v>540</v>
      </c>
      <c r="D889" s="3" t="str">
        <f t="shared" si="186"/>
        <v>次</v>
      </c>
      <c r="E889" s="3" t="str">
        <f t="shared" si="185"/>
        <v>手术费</v>
      </c>
    </row>
    <row r="890" customHeight="1" spans="1:5">
      <c r="A890" s="5" t="str">
        <f>"胆囊肠吻合术"</f>
        <v>胆囊肠吻合术</v>
      </c>
      <c r="B890" s="3">
        <v>331006001</v>
      </c>
      <c r="C890" s="4">
        <v>1080</v>
      </c>
      <c r="D890" s="3" t="str">
        <f t="shared" si="186"/>
        <v>次</v>
      </c>
      <c r="E890" s="3" t="str">
        <f t="shared" si="185"/>
        <v>手术费</v>
      </c>
    </row>
    <row r="891" customHeight="1" spans="1:5">
      <c r="A891" s="5" t="str">
        <f>"胆囊切除术"</f>
        <v>胆囊切除术</v>
      </c>
      <c r="B891" s="3">
        <v>331006002</v>
      </c>
      <c r="C891" s="4">
        <v>864</v>
      </c>
      <c r="D891" s="3" t="str">
        <f t="shared" si="186"/>
        <v>次</v>
      </c>
      <c r="E891" s="3" t="str">
        <f t="shared" si="185"/>
        <v>手术费</v>
      </c>
    </row>
    <row r="892" customHeight="1" spans="1:5">
      <c r="A892" s="5" t="str">
        <f>"胆囊造瘘术"</f>
        <v>胆囊造瘘术</v>
      </c>
      <c r="B892" s="3">
        <v>331006003</v>
      </c>
      <c r="C892" s="4">
        <v>864</v>
      </c>
      <c r="D892" s="3" t="str">
        <f t="shared" si="186"/>
        <v>次</v>
      </c>
      <c r="E892" s="3" t="str">
        <f t="shared" si="185"/>
        <v>手术费</v>
      </c>
    </row>
    <row r="893" customHeight="1" spans="1:5">
      <c r="A893" s="5" t="str">
        <f>"肝胆总管切开取石+空肠Roux吻合"</f>
        <v>肝胆总管切开取石+空肠Roux吻合</v>
      </c>
      <c r="B893" s="3">
        <v>331006005</v>
      </c>
      <c r="C893" s="4">
        <v>1300</v>
      </c>
      <c r="D893" s="3">
        <v>1</v>
      </c>
      <c r="E893" s="3" t="str">
        <f t="shared" si="185"/>
        <v>手术费</v>
      </c>
    </row>
    <row r="894" customHeight="1" spans="1:5">
      <c r="A894" s="5" t="str">
        <f>"胆总管囊肿外引流术"</f>
        <v>胆总管囊肿外引流术</v>
      </c>
      <c r="B894" s="3">
        <v>331006009</v>
      </c>
      <c r="C894" s="4">
        <v>864</v>
      </c>
      <c r="D894" s="3" t="str">
        <f t="shared" ref="D894:D915" si="187">"次"</f>
        <v>次</v>
      </c>
      <c r="E894" s="3" t="str">
        <f t="shared" si="185"/>
        <v>手术费</v>
      </c>
    </row>
    <row r="895" customHeight="1" spans="1:5">
      <c r="A895" s="5" t="str">
        <f>"胆总管探查T管引流术"</f>
        <v>胆总管探查T管引流术</v>
      </c>
      <c r="B895" s="3">
        <v>331006011</v>
      </c>
      <c r="C895" s="4">
        <v>864</v>
      </c>
      <c r="D895" s="3" t="str">
        <f t="shared" si="187"/>
        <v>次</v>
      </c>
      <c r="E895" s="3" t="str">
        <f t="shared" si="185"/>
        <v>手术费</v>
      </c>
    </row>
    <row r="896" customHeight="1" spans="1:5">
      <c r="A896" s="5" t="str">
        <f>"腹股沟疝修补术"</f>
        <v>腹股沟疝修补术</v>
      </c>
      <c r="B896" s="3">
        <v>331008001</v>
      </c>
      <c r="C896" s="4">
        <v>864</v>
      </c>
      <c r="D896" s="3" t="str">
        <f>"单侧"</f>
        <v>单侧</v>
      </c>
      <c r="E896" s="3" t="str">
        <f t="shared" si="185"/>
        <v>手术费</v>
      </c>
    </row>
    <row r="897" customHeight="1" spans="1:5">
      <c r="A897" s="5" t="str">
        <f>"嵌顿疝复位修补术"</f>
        <v>嵌顿疝复位修补术</v>
      </c>
      <c r="B897" s="3">
        <v>331008002</v>
      </c>
      <c r="C897" s="4">
        <v>864</v>
      </c>
      <c r="D897" s="3" t="str">
        <f>"单侧"</f>
        <v>单侧</v>
      </c>
      <c r="E897" s="3" t="str">
        <f t="shared" si="185"/>
        <v>手术费</v>
      </c>
    </row>
    <row r="898" customHeight="1" spans="1:5">
      <c r="A898" s="5" t="str">
        <f>"脐疝修补术"</f>
        <v>脐疝修补术</v>
      </c>
      <c r="B898" s="3">
        <v>331008004</v>
      </c>
      <c r="C898" s="4">
        <v>864</v>
      </c>
      <c r="D898" s="3" t="str">
        <f t="shared" si="187"/>
        <v>次</v>
      </c>
      <c r="E898" s="3" t="str">
        <f t="shared" si="185"/>
        <v>手术费</v>
      </c>
    </row>
    <row r="899" customHeight="1" spans="1:5">
      <c r="A899" s="5" t="str">
        <f>"腹壁切口疝修补术"</f>
        <v>腹壁切口疝修补术</v>
      </c>
      <c r="B899" s="3">
        <v>331008005</v>
      </c>
      <c r="C899" s="4">
        <v>864</v>
      </c>
      <c r="D899" s="3" t="str">
        <f t="shared" si="187"/>
        <v>次</v>
      </c>
      <c r="E899" s="3" t="str">
        <f t="shared" si="185"/>
        <v>手术费</v>
      </c>
    </row>
    <row r="900" customHeight="1" spans="1:5">
      <c r="A900" s="5" t="str">
        <f>"剖腹探查术"</f>
        <v>剖腹探查术</v>
      </c>
      <c r="B900" s="3">
        <v>331008008</v>
      </c>
      <c r="C900" s="4">
        <v>864</v>
      </c>
      <c r="D900" s="3" t="str">
        <f t="shared" si="187"/>
        <v>次</v>
      </c>
      <c r="E900" s="3" t="str">
        <f t="shared" si="185"/>
        <v>手术费</v>
      </c>
    </row>
    <row r="901" customHeight="1" spans="1:5">
      <c r="A901" s="5" t="str">
        <f>"开腹腹腔内脓肿引流术"</f>
        <v>开腹腹腔内脓肿引流术</v>
      </c>
      <c r="B901" s="3">
        <v>331008009</v>
      </c>
      <c r="C901" s="4">
        <v>864</v>
      </c>
      <c r="D901" s="3" t="str">
        <f t="shared" si="187"/>
        <v>次</v>
      </c>
      <c r="E901" s="3" t="str">
        <f t="shared" si="185"/>
        <v>手术费</v>
      </c>
    </row>
    <row r="902" customHeight="1" spans="1:5">
      <c r="A902" s="5" t="str">
        <f>"腹腔内肿物切除术"</f>
        <v>腹腔内肿物切除术</v>
      </c>
      <c r="B902" s="3">
        <v>331008012</v>
      </c>
      <c r="C902" s="4">
        <v>864</v>
      </c>
      <c r="D902" s="3" t="str">
        <f t="shared" si="187"/>
        <v>次</v>
      </c>
      <c r="E902" s="3" t="str">
        <f t="shared" si="185"/>
        <v>手术费</v>
      </c>
    </row>
    <row r="903" customHeight="1" spans="1:5">
      <c r="A903" s="5" t="str">
        <f>"腹膜后肿瘤切除术"</f>
        <v>腹膜后肿瘤切除术</v>
      </c>
      <c r="B903" s="3">
        <v>331008015</v>
      </c>
      <c r="C903" s="4">
        <v>1890</v>
      </c>
      <c r="D903" s="3" t="str">
        <f t="shared" si="187"/>
        <v>次</v>
      </c>
      <c r="E903" s="3" t="str">
        <f t="shared" si="185"/>
        <v>手术费</v>
      </c>
    </row>
    <row r="904" customHeight="1" spans="1:5">
      <c r="A904" s="5" t="str">
        <f>"腹壁肿瘤切除术"</f>
        <v>腹壁肿瘤切除术</v>
      </c>
      <c r="B904" s="3">
        <v>331008017</v>
      </c>
      <c r="C904" s="4">
        <v>756</v>
      </c>
      <c r="D904" s="3" t="str">
        <f t="shared" si="187"/>
        <v>次</v>
      </c>
      <c r="E904" s="3" t="str">
        <f t="shared" si="185"/>
        <v>手术费</v>
      </c>
    </row>
    <row r="905" customHeight="1" spans="1:5">
      <c r="A905" s="5" t="str">
        <f>"肾破裂修补术"</f>
        <v>肾破裂修补术</v>
      </c>
      <c r="B905" s="3">
        <v>331101001</v>
      </c>
      <c r="C905" s="4">
        <v>1080</v>
      </c>
      <c r="D905" s="3" t="str">
        <f t="shared" si="187"/>
        <v>次</v>
      </c>
      <c r="E905" s="3" t="str">
        <f t="shared" si="185"/>
        <v>手术费</v>
      </c>
    </row>
    <row r="906" customHeight="1" spans="1:5">
      <c r="A906" s="5" t="str">
        <f>"肾固定术"</f>
        <v>肾固定术</v>
      </c>
      <c r="B906" s="3">
        <v>331101002</v>
      </c>
      <c r="C906" s="4">
        <v>864</v>
      </c>
      <c r="D906" s="3" t="str">
        <f t="shared" si="187"/>
        <v>次</v>
      </c>
      <c r="E906" s="3" t="str">
        <f t="shared" si="185"/>
        <v>手术费</v>
      </c>
    </row>
    <row r="907" customHeight="1" spans="1:5">
      <c r="A907" s="5" t="str">
        <f>"肾包膜剥脱术"</f>
        <v>肾包膜剥脱术</v>
      </c>
      <c r="B907" s="3">
        <v>331101004</v>
      </c>
      <c r="C907" s="4">
        <v>864</v>
      </c>
      <c r="D907" s="3" t="str">
        <f t="shared" si="187"/>
        <v>次</v>
      </c>
      <c r="E907" s="3" t="str">
        <f t="shared" si="185"/>
        <v>手术费</v>
      </c>
    </row>
    <row r="908" customHeight="1" spans="1:5">
      <c r="A908" s="5" t="str">
        <f>"肾周围淋巴管剥脱术"</f>
        <v>肾周围淋巴管剥脱术</v>
      </c>
      <c r="B908" s="3">
        <v>331101005</v>
      </c>
      <c r="C908" s="4">
        <v>1080</v>
      </c>
      <c r="D908" s="3" t="str">
        <f t="shared" si="187"/>
        <v>次</v>
      </c>
      <c r="E908" s="3" t="str">
        <f t="shared" si="185"/>
        <v>手术费</v>
      </c>
    </row>
    <row r="909" customHeight="1" spans="1:5">
      <c r="A909" s="5" t="str">
        <f>"肾肿瘤剔除术"</f>
        <v>肾肿瘤剔除术</v>
      </c>
      <c r="B909" s="3">
        <v>331101007</v>
      </c>
      <c r="C909" s="4">
        <v>1080</v>
      </c>
      <c r="D909" s="3" t="str">
        <f t="shared" si="187"/>
        <v>次</v>
      </c>
      <c r="E909" s="3" t="str">
        <f t="shared" si="185"/>
        <v>手术费</v>
      </c>
    </row>
    <row r="910" customHeight="1" spans="1:5">
      <c r="A910" s="5" t="str">
        <f>"肾切除术"</f>
        <v>肾切除术</v>
      </c>
      <c r="B910" s="3">
        <v>331101008</v>
      </c>
      <c r="C910" s="4">
        <v>864</v>
      </c>
      <c r="D910" s="3" t="str">
        <f t="shared" si="187"/>
        <v>次</v>
      </c>
      <c r="E910" s="3" t="str">
        <f t="shared" si="185"/>
        <v>手术费</v>
      </c>
    </row>
    <row r="911" customHeight="1" spans="1:5">
      <c r="A911" s="5" t="str">
        <f>"肾部分切除术"</f>
        <v>肾部分切除术</v>
      </c>
      <c r="B911" s="3">
        <v>331101009</v>
      </c>
      <c r="C911" s="4">
        <v>1640</v>
      </c>
      <c r="D911" s="3" t="str">
        <f t="shared" si="187"/>
        <v>次</v>
      </c>
      <c r="E911" s="3" t="str">
        <f t="shared" si="185"/>
        <v>手术费</v>
      </c>
    </row>
    <row r="912" customHeight="1" spans="1:5">
      <c r="A912" s="5" t="str">
        <f>"重复肾重复输尿管切除术"</f>
        <v>重复肾重复输尿管切除术</v>
      </c>
      <c r="B912" s="3">
        <v>331101011</v>
      </c>
      <c r="C912" s="4">
        <v>1080</v>
      </c>
      <c r="D912" s="3" t="str">
        <f t="shared" si="187"/>
        <v>次</v>
      </c>
      <c r="E912" s="3" t="str">
        <f t="shared" si="185"/>
        <v>手术费</v>
      </c>
    </row>
    <row r="913" customHeight="1" spans="1:5">
      <c r="A913" s="5" t="str">
        <f>"融合肾分解术"</f>
        <v>融合肾分解术</v>
      </c>
      <c r="B913" s="3">
        <v>331101012</v>
      </c>
      <c r="C913" s="4">
        <v>972</v>
      </c>
      <c r="D913" s="3" t="str">
        <f t="shared" si="187"/>
        <v>次</v>
      </c>
      <c r="E913" s="3" t="str">
        <f t="shared" si="185"/>
        <v>手术费</v>
      </c>
    </row>
    <row r="914" customHeight="1" spans="1:5">
      <c r="A914" s="5" t="str">
        <f>"肾实质切开造瘘术"</f>
        <v>肾实质切开造瘘术</v>
      </c>
      <c r="B914" s="3">
        <v>331101013</v>
      </c>
      <c r="C914" s="4">
        <v>972</v>
      </c>
      <c r="D914" s="3" t="str">
        <f t="shared" si="187"/>
        <v>次</v>
      </c>
      <c r="E914" s="3" t="str">
        <f t="shared" si="185"/>
        <v>手术费</v>
      </c>
    </row>
    <row r="915" customHeight="1" spans="1:5">
      <c r="A915" s="5" t="str">
        <f>"肾囊肿切除术"</f>
        <v>肾囊肿切除术</v>
      </c>
      <c r="B915" s="3">
        <v>331101014</v>
      </c>
      <c r="C915" s="4">
        <v>972</v>
      </c>
      <c r="D915" s="3" t="str">
        <f t="shared" si="187"/>
        <v>次</v>
      </c>
      <c r="E915" s="3" t="str">
        <f t="shared" si="185"/>
        <v>手术费</v>
      </c>
    </row>
    <row r="916" customHeight="1" spans="1:5">
      <c r="A916" s="5" t="str">
        <f>"多囊肾去顶减压术"</f>
        <v>多囊肾去顶减压术</v>
      </c>
      <c r="B916" s="3">
        <v>331101015</v>
      </c>
      <c r="C916" s="4">
        <v>1080</v>
      </c>
      <c r="D916" s="3" t="str">
        <f>"单侧"</f>
        <v>单侧</v>
      </c>
      <c r="E916" s="3" t="str">
        <f t="shared" si="185"/>
        <v>手术费</v>
      </c>
    </row>
    <row r="917" customHeight="1" spans="1:5">
      <c r="A917" s="5" t="str">
        <f>"肾切开取石术"</f>
        <v>肾切开取石术</v>
      </c>
      <c r="B917" s="3">
        <v>331101016</v>
      </c>
      <c r="C917" s="4">
        <v>1190</v>
      </c>
      <c r="D917" s="3" t="str">
        <f t="shared" ref="D917:D929" si="188">"次"</f>
        <v>次</v>
      </c>
      <c r="E917" s="3" t="str">
        <f t="shared" si="185"/>
        <v>手术费</v>
      </c>
    </row>
    <row r="918" customHeight="1" spans="1:5">
      <c r="A918" s="5" t="str">
        <f>"肾盂癌根治术"</f>
        <v>肾盂癌根治术</v>
      </c>
      <c r="B918" s="3">
        <v>331102001</v>
      </c>
      <c r="C918" s="4">
        <v>1510</v>
      </c>
      <c r="D918" s="3" t="str">
        <f t="shared" si="188"/>
        <v>次</v>
      </c>
      <c r="E918" s="3" t="str">
        <f t="shared" si="185"/>
        <v>手术费</v>
      </c>
    </row>
    <row r="919" customHeight="1" spans="1:5">
      <c r="A919" s="5" t="str">
        <f>"肾盂成形肾盂输尿管再吻合术"</f>
        <v>肾盂成形肾盂输尿管再吻合术</v>
      </c>
      <c r="B919" s="3">
        <v>331102002</v>
      </c>
      <c r="C919" s="4">
        <v>1300</v>
      </c>
      <c r="D919" s="3" t="str">
        <f t="shared" si="188"/>
        <v>次</v>
      </c>
      <c r="E919" s="3" t="str">
        <f t="shared" si="185"/>
        <v>手术费</v>
      </c>
    </row>
    <row r="920" customHeight="1" spans="1:5">
      <c r="A920" s="5" t="str">
        <f>"肾盂输尿管成形术"</f>
        <v>肾盂输尿管成形术</v>
      </c>
      <c r="B920" s="3">
        <v>331102006</v>
      </c>
      <c r="C920" s="4">
        <v>1080</v>
      </c>
      <c r="D920" s="3" t="str">
        <f t="shared" si="188"/>
        <v>次</v>
      </c>
      <c r="E920" s="3" t="str">
        <f t="shared" si="185"/>
        <v>手术费</v>
      </c>
    </row>
    <row r="921" customHeight="1" spans="1:5">
      <c r="A921" s="5" t="str">
        <f>"输尿管切开取石术"</f>
        <v>输尿管切开取石术</v>
      </c>
      <c r="B921" s="3">
        <v>331102007</v>
      </c>
      <c r="C921" s="4">
        <v>648</v>
      </c>
      <c r="D921" s="3" t="str">
        <f t="shared" si="188"/>
        <v>次</v>
      </c>
      <c r="E921" s="3" t="str">
        <f t="shared" si="185"/>
        <v>手术费</v>
      </c>
    </row>
    <row r="922" customHeight="1" spans="1:5">
      <c r="A922" s="5" t="str">
        <f>"输尿管损伤修补术"</f>
        <v>输尿管损伤修补术</v>
      </c>
      <c r="B922" s="3">
        <v>331102008</v>
      </c>
      <c r="C922" s="4">
        <v>648</v>
      </c>
      <c r="D922" s="3" t="str">
        <f t="shared" si="188"/>
        <v>次</v>
      </c>
      <c r="E922" s="3" t="str">
        <f t="shared" si="185"/>
        <v>手术费</v>
      </c>
    </row>
    <row r="923" customHeight="1" spans="1:5">
      <c r="A923" s="5" t="str">
        <f>"输尿管狭窄段切除再吻合术"</f>
        <v>输尿管狭窄段切除再吻合术</v>
      </c>
      <c r="B923" s="3">
        <v>331102009</v>
      </c>
      <c r="C923" s="4">
        <v>1080</v>
      </c>
      <c r="D923" s="3" t="str">
        <f t="shared" si="188"/>
        <v>次</v>
      </c>
      <c r="E923" s="3" t="str">
        <f t="shared" si="185"/>
        <v>手术费</v>
      </c>
    </row>
    <row r="924" customHeight="1" spans="1:5">
      <c r="A924" s="5" t="str">
        <f>"输尿管开口囊肿切除术"</f>
        <v>输尿管开口囊肿切除术</v>
      </c>
      <c r="B924" s="3">
        <v>331102010</v>
      </c>
      <c r="C924" s="4">
        <v>648</v>
      </c>
      <c r="D924" s="3" t="str">
        <f t="shared" si="188"/>
        <v>次</v>
      </c>
      <c r="E924" s="3" t="str">
        <f t="shared" si="185"/>
        <v>手术费</v>
      </c>
    </row>
    <row r="925" customHeight="1" spans="1:5">
      <c r="A925" s="5" t="str">
        <f>"输尿管膀胱再植术"</f>
        <v>输尿管膀胱再植术</v>
      </c>
      <c r="B925" s="3">
        <v>331102012</v>
      </c>
      <c r="C925" s="4">
        <v>1080</v>
      </c>
      <c r="D925" s="3" t="str">
        <f t="shared" si="188"/>
        <v>次</v>
      </c>
      <c r="E925" s="3" t="str">
        <f t="shared" si="185"/>
        <v>手术费</v>
      </c>
    </row>
    <row r="926" customHeight="1" spans="1:5">
      <c r="A926" s="5" t="str">
        <f>"膀胱瓣代输尿管术"</f>
        <v>膀胱瓣代输尿管术</v>
      </c>
      <c r="B926" s="3">
        <v>331102019</v>
      </c>
      <c r="C926" s="4">
        <v>1510</v>
      </c>
      <c r="D926" s="3" t="str">
        <f t="shared" si="188"/>
        <v>次</v>
      </c>
      <c r="E926" s="3" t="str">
        <f t="shared" si="185"/>
        <v>手术费</v>
      </c>
    </row>
    <row r="927" customHeight="1" spans="1:5">
      <c r="A927" s="5" t="str">
        <f>"膀胱切开取石术"</f>
        <v>膀胱切开取石术</v>
      </c>
      <c r="B927" s="3">
        <v>331103001</v>
      </c>
      <c r="C927" s="4">
        <v>756</v>
      </c>
      <c r="D927" s="3" t="str">
        <f t="shared" si="188"/>
        <v>次</v>
      </c>
      <c r="E927" s="3" t="str">
        <f t="shared" si="185"/>
        <v>手术费</v>
      </c>
    </row>
    <row r="928" customHeight="1" spans="1:5">
      <c r="A928" s="5" t="str">
        <f>"膀胱憩室切除术"</f>
        <v>膀胱憩室切除术</v>
      </c>
      <c r="B928" s="3">
        <v>331103002</v>
      </c>
      <c r="C928" s="4">
        <v>864</v>
      </c>
      <c r="D928" s="3" t="str">
        <f t="shared" si="188"/>
        <v>次</v>
      </c>
      <c r="E928" s="3" t="str">
        <f t="shared" si="185"/>
        <v>手术费</v>
      </c>
    </row>
    <row r="929" customHeight="1" spans="1:5">
      <c r="A929" s="5" t="str">
        <f>"膀胱部分切除术"</f>
        <v>膀胱部分切除术</v>
      </c>
      <c r="B929" s="3">
        <v>331103003</v>
      </c>
      <c r="C929" s="4">
        <v>864</v>
      </c>
      <c r="D929" s="3" t="str">
        <f t="shared" si="188"/>
        <v>次</v>
      </c>
      <c r="E929" s="3" t="str">
        <f t="shared" si="185"/>
        <v>手术费</v>
      </c>
    </row>
    <row r="930" customHeight="1" spans="1:5">
      <c r="A930" s="5" t="str">
        <f>"膀胱切开肿瘤烧灼术术"</f>
        <v>膀胱切开肿瘤烧灼术术</v>
      </c>
      <c r="B930" s="3">
        <v>331103004</v>
      </c>
      <c r="C930" s="4">
        <v>864</v>
      </c>
      <c r="D930" s="3">
        <v>1</v>
      </c>
      <c r="E930" s="3" t="str">
        <f t="shared" si="185"/>
        <v>手术费</v>
      </c>
    </row>
    <row r="931" customHeight="1" spans="1:5">
      <c r="A931" s="5" t="str">
        <f>"膀胱造瘘术"</f>
        <v>膀胱造瘘术</v>
      </c>
      <c r="B931" s="3">
        <v>331103005</v>
      </c>
      <c r="C931" s="4">
        <v>540</v>
      </c>
      <c r="D931" s="3" t="str">
        <f t="shared" ref="D931:D945" si="189">"次"</f>
        <v>次</v>
      </c>
      <c r="E931" s="3" t="str">
        <f t="shared" si="185"/>
        <v>手术费</v>
      </c>
    </row>
    <row r="932" customHeight="1" spans="1:5">
      <c r="A932" s="5" t="str">
        <f>"膀胱瘘管切除术"</f>
        <v>膀胱瘘管切除术</v>
      </c>
      <c r="B932" s="3">
        <v>331103015</v>
      </c>
      <c r="C932" s="4">
        <v>864</v>
      </c>
      <c r="D932" s="3" t="str">
        <f t="shared" si="189"/>
        <v>次</v>
      </c>
      <c r="E932" s="3" t="str">
        <f t="shared" si="185"/>
        <v>手术费</v>
      </c>
    </row>
    <row r="933" customHeight="1" spans="1:5">
      <c r="A933" s="5" t="str">
        <f>"膀胱破裂修补术"</f>
        <v>膀胱破裂修补术</v>
      </c>
      <c r="B933" s="3">
        <v>331103016</v>
      </c>
      <c r="C933" s="4">
        <v>864</v>
      </c>
      <c r="D933" s="3" t="str">
        <f t="shared" si="189"/>
        <v>次</v>
      </c>
      <c r="E933" s="3" t="str">
        <f t="shared" si="185"/>
        <v>手术费</v>
      </c>
    </row>
    <row r="934" customHeight="1" spans="1:5">
      <c r="A934" s="5" t="str">
        <f>"膀胱阴道瘘修补术"</f>
        <v>膀胱阴道瘘修补术</v>
      </c>
      <c r="B934" s="3">
        <v>331103019</v>
      </c>
      <c r="C934" s="4">
        <v>1080</v>
      </c>
      <c r="D934" s="3" t="str">
        <f t="shared" si="189"/>
        <v>次</v>
      </c>
      <c r="E934" s="3" t="str">
        <f t="shared" si="185"/>
        <v>手术费</v>
      </c>
    </row>
    <row r="935" customHeight="1" spans="1:5">
      <c r="A935" s="5" t="str">
        <f>"膀胱颈部Y—V成形术"</f>
        <v>膀胱颈部Y—V成形术</v>
      </c>
      <c r="B935" s="3">
        <v>331103020</v>
      </c>
      <c r="C935" s="4">
        <v>1080</v>
      </c>
      <c r="D935" s="3" t="str">
        <f t="shared" si="189"/>
        <v>次</v>
      </c>
      <c r="E935" s="3" t="str">
        <f t="shared" si="185"/>
        <v>手术费</v>
      </c>
    </row>
    <row r="936" customHeight="1" spans="1:5">
      <c r="A936" s="5" t="str">
        <f>"经尿道膀胱碎石取石术"</f>
        <v>经尿道膀胱碎石取石术</v>
      </c>
      <c r="B936" s="3">
        <v>331103027</v>
      </c>
      <c r="C936" s="4">
        <v>972</v>
      </c>
      <c r="D936" s="3" t="str">
        <f t="shared" si="189"/>
        <v>次</v>
      </c>
      <c r="E936" s="3" t="str">
        <f t="shared" si="185"/>
        <v>手术费</v>
      </c>
    </row>
    <row r="937" customHeight="1" spans="1:5">
      <c r="A937" s="5" t="str">
        <f>"尿道修补术"</f>
        <v>尿道修补术</v>
      </c>
      <c r="B937" s="3">
        <v>331104001</v>
      </c>
      <c r="C937" s="4">
        <v>1400</v>
      </c>
      <c r="D937" s="3" t="str">
        <f t="shared" si="189"/>
        <v>次</v>
      </c>
      <c r="E937" s="3" t="str">
        <f t="shared" si="185"/>
        <v>手术费</v>
      </c>
    </row>
    <row r="938" customHeight="1" spans="1:5">
      <c r="A938" s="5" t="str">
        <f>"尿道切开取石术"</f>
        <v>尿道切开取石术</v>
      </c>
      <c r="B938" s="3">
        <v>331104005</v>
      </c>
      <c r="C938" s="4">
        <v>864</v>
      </c>
      <c r="D938" s="3" t="str">
        <f t="shared" si="189"/>
        <v>次</v>
      </c>
      <c r="E938" s="3" t="str">
        <f t="shared" si="185"/>
        <v>手术费</v>
      </c>
    </row>
    <row r="939" customHeight="1" spans="1:5">
      <c r="A939" s="5" t="str">
        <f>"尿道瓣膜电切术"</f>
        <v>尿道瓣膜电切术</v>
      </c>
      <c r="B939" s="3">
        <v>331104006</v>
      </c>
      <c r="C939" s="4">
        <v>864</v>
      </c>
      <c r="D939" s="3" t="str">
        <f t="shared" si="189"/>
        <v>次</v>
      </c>
      <c r="E939" s="3" t="str">
        <f t="shared" si="185"/>
        <v>手术费</v>
      </c>
    </row>
    <row r="940" customHeight="1" spans="1:5">
      <c r="A940" s="5" t="str">
        <f>"尿道狭窄瘢痕切除术"</f>
        <v>尿道狭窄瘢痕切除术</v>
      </c>
      <c r="B940" s="3">
        <v>331104007</v>
      </c>
      <c r="C940" s="4">
        <v>864</v>
      </c>
      <c r="D940" s="3" t="str">
        <f t="shared" si="189"/>
        <v>次</v>
      </c>
      <c r="E940" s="3" t="str">
        <f t="shared" si="185"/>
        <v>手术费</v>
      </c>
    </row>
    <row r="941" customHeight="1" spans="1:5">
      <c r="A941" s="5" t="str">
        <f>"尿道良性肿物切除术"</f>
        <v>尿道良性肿物切除术</v>
      </c>
      <c r="B941" s="3">
        <v>331104008</v>
      </c>
      <c r="C941" s="4">
        <v>972</v>
      </c>
      <c r="D941" s="3" t="str">
        <f t="shared" si="189"/>
        <v>次</v>
      </c>
      <c r="E941" s="3" t="str">
        <f t="shared" si="185"/>
        <v>手术费</v>
      </c>
    </row>
    <row r="942" customHeight="1" spans="1:5">
      <c r="A942" s="5" t="str">
        <f>"尿道憩室切除术"</f>
        <v>尿道憩室切除术</v>
      </c>
      <c r="B942" s="3">
        <v>331104009</v>
      </c>
      <c r="C942" s="4">
        <v>756</v>
      </c>
      <c r="D942" s="3" t="str">
        <f t="shared" si="189"/>
        <v>次</v>
      </c>
      <c r="E942" s="3" t="str">
        <f t="shared" ref="E942:E996" si="190">"手术费"</f>
        <v>手术费</v>
      </c>
    </row>
    <row r="943" customHeight="1" spans="1:5">
      <c r="A943" s="5" t="str">
        <f>"尿道旁腺囊肿摘除术"</f>
        <v>尿道旁腺囊肿摘除术</v>
      </c>
      <c r="B943" s="3">
        <v>331104010</v>
      </c>
      <c r="C943" s="4">
        <v>756</v>
      </c>
      <c r="D943" s="3" t="str">
        <f t="shared" si="189"/>
        <v>次</v>
      </c>
      <c r="E943" s="3" t="str">
        <f t="shared" si="190"/>
        <v>手术费</v>
      </c>
    </row>
    <row r="944" customHeight="1" spans="1:5">
      <c r="A944" s="5" t="str">
        <f>"尿道瘘修补术"</f>
        <v>尿道瘘修补术</v>
      </c>
      <c r="B944" s="3">
        <v>331104018</v>
      </c>
      <c r="C944" s="4">
        <v>648</v>
      </c>
      <c r="D944" s="3" t="str">
        <f t="shared" si="189"/>
        <v>次</v>
      </c>
      <c r="E944" s="3" t="str">
        <f t="shared" si="190"/>
        <v>手术费</v>
      </c>
    </row>
    <row r="945" customHeight="1" spans="1:5">
      <c r="A945" s="5" t="str">
        <f>"尿道外口整形术*"</f>
        <v>尿道外口整形术*</v>
      </c>
      <c r="B945" s="3">
        <v>331104021</v>
      </c>
      <c r="C945" s="4">
        <v>648</v>
      </c>
      <c r="D945" s="3" t="str">
        <f t="shared" si="189"/>
        <v>次</v>
      </c>
      <c r="E945" s="3" t="str">
        <f t="shared" si="190"/>
        <v>手术费</v>
      </c>
    </row>
    <row r="946" customHeight="1" spans="1:5">
      <c r="A946" s="5" t="str">
        <f>"尿道下裂修补术"</f>
        <v>尿道下裂修补术</v>
      </c>
      <c r="B946" s="3">
        <v>331104026</v>
      </c>
      <c r="C946" s="4">
        <v>972</v>
      </c>
      <c r="D946" s="3">
        <v>1</v>
      </c>
      <c r="E946" s="3" t="str">
        <f t="shared" si="190"/>
        <v>手术费</v>
      </c>
    </row>
    <row r="947" customHeight="1" spans="1:5">
      <c r="A947" s="5" t="str">
        <f>"前列腺囊肿切除术"</f>
        <v>前列腺囊肿切除术</v>
      </c>
      <c r="B947" s="3">
        <v>331201004</v>
      </c>
      <c r="C947" s="4">
        <v>1190</v>
      </c>
      <c r="D947" s="3" t="str">
        <f t="shared" ref="D947:D953" si="191">"次"</f>
        <v>次</v>
      </c>
      <c r="E947" s="3" t="str">
        <f t="shared" si="190"/>
        <v>手术费</v>
      </c>
    </row>
    <row r="948" customHeight="1" spans="1:5">
      <c r="A948" s="5" t="str">
        <f>"前列腺脓肿切开术"</f>
        <v>前列腺脓肿切开术</v>
      </c>
      <c r="B948" s="3">
        <v>331201005</v>
      </c>
      <c r="C948" s="4">
        <v>540</v>
      </c>
      <c r="D948" s="3" t="str">
        <f t="shared" si="191"/>
        <v>次</v>
      </c>
      <c r="E948" s="3" t="str">
        <f t="shared" si="190"/>
        <v>手术费</v>
      </c>
    </row>
    <row r="949" customHeight="1" spans="1:5">
      <c r="A949" s="5" t="str">
        <f>"精囊肿物切除术"</f>
        <v>精囊肿物切除术</v>
      </c>
      <c r="B949" s="3">
        <v>331201009</v>
      </c>
      <c r="C949" s="4">
        <v>1190</v>
      </c>
      <c r="D949" s="3" t="str">
        <f t="shared" si="191"/>
        <v>次</v>
      </c>
      <c r="E949" s="3" t="str">
        <f t="shared" si="190"/>
        <v>手术费</v>
      </c>
    </row>
    <row r="950" customHeight="1" spans="1:5">
      <c r="A950" s="5" t="str">
        <f>"阴囊坏死扩创术"</f>
        <v>阴囊坏死扩创术</v>
      </c>
      <c r="B950" s="3">
        <v>331202001</v>
      </c>
      <c r="C950" s="4">
        <v>324</v>
      </c>
      <c r="D950" s="3" t="str">
        <f t="shared" si="191"/>
        <v>次</v>
      </c>
      <c r="E950" s="3" t="str">
        <f t="shared" si="190"/>
        <v>手术费</v>
      </c>
    </row>
    <row r="951" customHeight="1" spans="1:5">
      <c r="A951" s="5" t="str">
        <f>"阴囊脓肿引流术"</f>
        <v>阴囊脓肿引流术</v>
      </c>
      <c r="B951" s="3">
        <v>331202002</v>
      </c>
      <c r="C951" s="4">
        <v>324</v>
      </c>
      <c r="D951" s="3" t="str">
        <f t="shared" si="191"/>
        <v>次</v>
      </c>
      <c r="E951" s="3" t="str">
        <f t="shared" si="190"/>
        <v>手术费</v>
      </c>
    </row>
    <row r="952" customHeight="1" spans="1:5">
      <c r="A952" s="5" t="str">
        <f>"阴囊成形术"</f>
        <v>阴囊成形术</v>
      </c>
      <c r="B952" s="3">
        <v>331202003</v>
      </c>
      <c r="C952" s="4">
        <v>540</v>
      </c>
      <c r="D952" s="3" t="str">
        <f t="shared" si="191"/>
        <v>次</v>
      </c>
      <c r="E952" s="3" t="str">
        <f t="shared" si="190"/>
        <v>手术费</v>
      </c>
    </row>
    <row r="953" customHeight="1" spans="1:5">
      <c r="A953" s="5" t="str">
        <f>"阴囊肿物切除术"</f>
        <v>阴囊肿物切除术</v>
      </c>
      <c r="B953" s="3">
        <v>331202004</v>
      </c>
      <c r="C953" s="4">
        <v>324</v>
      </c>
      <c r="D953" s="3" t="str">
        <f t="shared" si="191"/>
        <v>次</v>
      </c>
      <c r="E953" s="3" t="str">
        <f t="shared" si="190"/>
        <v>手术费</v>
      </c>
    </row>
    <row r="954" customHeight="1" spans="1:5">
      <c r="A954" s="5" t="str">
        <f>"高位隐睾下降固定术"</f>
        <v>高位隐睾下降固定术</v>
      </c>
      <c r="B954" s="3">
        <v>331202005</v>
      </c>
      <c r="C954" s="4">
        <v>648</v>
      </c>
      <c r="D954" s="3" t="str">
        <f t="shared" ref="D954:D957" si="192">"单侧"</f>
        <v>单侧</v>
      </c>
      <c r="E954" s="3" t="str">
        <f t="shared" si="190"/>
        <v>手术费</v>
      </c>
    </row>
    <row r="955" customHeight="1" spans="1:5">
      <c r="A955" s="5" t="str">
        <f>"睾丸鞘膜翻转术"</f>
        <v>睾丸鞘膜翻转术</v>
      </c>
      <c r="B955" s="3">
        <v>331202006</v>
      </c>
      <c r="C955" s="4">
        <v>432</v>
      </c>
      <c r="D955" s="3" t="str">
        <f t="shared" si="192"/>
        <v>单侧</v>
      </c>
      <c r="E955" s="3" t="str">
        <f t="shared" si="190"/>
        <v>手术费</v>
      </c>
    </row>
    <row r="956" customHeight="1" spans="1:5">
      <c r="A956" s="5" t="str">
        <f>"交通性鞘膜积液修补术"</f>
        <v>交通性鞘膜积液修补术</v>
      </c>
      <c r="B956" s="3">
        <v>331202007</v>
      </c>
      <c r="C956" s="4">
        <v>432</v>
      </c>
      <c r="D956" s="3">
        <v>1</v>
      </c>
      <c r="E956" s="3" t="str">
        <f t="shared" si="190"/>
        <v>手术费</v>
      </c>
    </row>
    <row r="957" customHeight="1" spans="1:5">
      <c r="A957" s="5" t="str">
        <f>"睾丸附件扭转探查术"</f>
        <v>睾丸附件扭转探查术</v>
      </c>
      <c r="B957" s="3">
        <v>331202008</v>
      </c>
      <c r="C957" s="4">
        <v>432</v>
      </c>
      <c r="D957" s="3" t="str">
        <f t="shared" si="192"/>
        <v>单侧</v>
      </c>
      <c r="E957" s="3" t="str">
        <f t="shared" si="190"/>
        <v>手术费</v>
      </c>
    </row>
    <row r="958" customHeight="1" spans="1:5">
      <c r="A958" s="5" t="str">
        <f>"睾丸破裂修补术"</f>
        <v>睾丸破裂修补术</v>
      </c>
      <c r="B958" s="3">
        <v>331202009</v>
      </c>
      <c r="C958" s="4">
        <v>432</v>
      </c>
      <c r="D958" s="3" t="str">
        <f t="shared" ref="D958:D963" si="193">"次"</f>
        <v>次</v>
      </c>
      <c r="E958" s="3" t="str">
        <f t="shared" si="190"/>
        <v>手术费</v>
      </c>
    </row>
    <row r="959" customHeight="1" spans="1:5">
      <c r="A959" s="5" t="str">
        <f>"睾丸切除术"</f>
        <v>睾丸切除术</v>
      </c>
      <c r="B959" s="3">
        <v>331202011</v>
      </c>
      <c r="C959" s="4">
        <v>432</v>
      </c>
      <c r="D959" s="3" t="str">
        <f t="shared" ref="D959:D964" si="194">"单侧"</f>
        <v>单侧</v>
      </c>
      <c r="E959" s="3" t="str">
        <f t="shared" si="190"/>
        <v>手术费</v>
      </c>
    </row>
    <row r="960" customHeight="1" spans="1:5">
      <c r="A960" s="5" t="str">
        <f>"附睾切除术"</f>
        <v>附睾切除术</v>
      </c>
      <c r="B960" s="3">
        <v>331203001</v>
      </c>
      <c r="C960" s="4">
        <v>540</v>
      </c>
      <c r="D960" s="3" t="str">
        <f t="shared" si="193"/>
        <v>次</v>
      </c>
      <c r="E960" s="3" t="str">
        <f t="shared" si="190"/>
        <v>手术费</v>
      </c>
    </row>
    <row r="961" customHeight="1" spans="1:5">
      <c r="A961" s="5" t="str">
        <f>"输精管附睾吻合术"</f>
        <v>输精管附睾吻合术</v>
      </c>
      <c r="B961" s="3">
        <v>331203002</v>
      </c>
      <c r="C961" s="4">
        <v>540</v>
      </c>
      <c r="D961" s="3" t="str">
        <f t="shared" si="194"/>
        <v>单侧</v>
      </c>
      <c r="E961" s="3" t="str">
        <f t="shared" si="190"/>
        <v>手术费</v>
      </c>
    </row>
    <row r="962" customHeight="1" spans="1:5">
      <c r="A962" s="5" t="str">
        <f>"精索静脉瘤切除术"</f>
        <v>精索静脉瘤切除术</v>
      </c>
      <c r="B962" s="3">
        <v>331203004</v>
      </c>
      <c r="C962" s="4">
        <v>432</v>
      </c>
      <c r="D962" s="3" t="str">
        <f t="shared" si="193"/>
        <v>次</v>
      </c>
      <c r="E962" s="3" t="str">
        <f t="shared" si="190"/>
        <v>手术费</v>
      </c>
    </row>
    <row r="963" customHeight="1" spans="1:5">
      <c r="A963" s="5" t="str">
        <f>"精索静脉曲张栓塞术"</f>
        <v>精索静脉曲张栓塞术</v>
      </c>
      <c r="B963" s="3">
        <v>331203005</v>
      </c>
      <c r="C963" s="4">
        <v>432</v>
      </c>
      <c r="D963" s="3" t="str">
        <f t="shared" si="193"/>
        <v>次</v>
      </c>
      <c r="E963" s="3" t="str">
        <f t="shared" si="190"/>
        <v>手术费</v>
      </c>
    </row>
    <row r="964" customHeight="1" spans="1:5">
      <c r="A964" s="5" t="str">
        <f>"精索静脉曲张高位结扎术"</f>
        <v>精索静脉曲张高位结扎术</v>
      </c>
      <c r="B964" s="3">
        <v>331203006</v>
      </c>
      <c r="C964" s="4">
        <v>432</v>
      </c>
      <c r="D964" s="3" t="str">
        <f t="shared" si="194"/>
        <v>单侧</v>
      </c>
      <c r="E964" s="3" t="str">
        <f t="shared" si="190"/>
        <v>手术费</v>
      </c>
    </row>
    <row r="965" customHeight="1" spans="1:5">
      <c r="A965" s="5" t="str">
        <f>"精索静脉曲张高位结扎术分流术加收"</f>
        <v>精索静脉曲张高位结扎术分流术加收</v>
      </c>
      <c r="B965" s="3" t="str">
        <f>"331203006-a"</f>
        <v>331203006-a</v>
      </c>
      <c r="C965" s="4">
        <v>150</v>
      </c>
      <c r="D965" s="3" t="str">
        <f t="shared" ref="D965:D972" si="195">"次"</f>
        <v>次</v>
      </c>
      <c r="E965" s="3" t="str">
        <f t="shared" si="190"/>
        <v>手术费</v>
      </c>
    </row>
    <row r="966" customHeight="1" spans="1:5">
      <c r="A966" s="5" t="str">
        <f>"输精管结扎术"</f>
        <v>输精管结扎术</v>
      </c>
      <c r="B966" s="3">
        <v>331203008</v>
      </c>
      <c r="C966" s="4">
        <v>324</v>
      </c>
      <c r="D966" s="3" t="str">
        <f t="shared" si="195"/>
        <v>次</v>
      </c>
      <c r="E966" s="3" t="str">
        <f t="shared" si="190"/>
        <v>手术费</v>
      </c>
    </row>
    <row r="967" customHeight="1" spans="1:5">
      <c r="A967" s="5" t="str">
        <f>"嵌顿包茎松解术"</f>
        <v>嵌顿包茎松解术</v>
      </c>
      <c r="B967" s="3">
        <v>331204001</v>
      </c>
      <c r="C967" s="4">
        <v>216</v>
      </c>
      <c r="D967" s="3">
        <v>1</v>
      </c>
      <c r="E967" s="3" t="str">
        <f t="shared" si="190"/>
        <v>手术费</v>
      </c>
    </row>
    <row r="968" customHeight="1" spans="1:5">
      <c r="A968" s="5" t="str">
        <f>"包皮环切术"</f>
        <v>包皮环切术</v>
      </c>
      <c r="B968" s="3">
        <v>331204002</v>
      </c>
      <c r="C968" s="4">
        <v>243</v>
      </c>
      <c r="D968" s="3" t="str">
        <f t="shared" si="195"/>
        <v>次</v>
      </c>
      <c r="E968" s="3" t="str">
        <f t="shared" si="190"/>
        <v>手术费</v>
      </c>
    </row>
    <row r="969" customHeight="1" spans="1:5">
      <c r="A969" s="5" t="str">
        <f>"阴茎包皮过短整形术"</f>
        <v>阴茎包皮过短整形术</v>
      </c>
      <c r="B969" s="3">
        <v>331204003</v>
      </c>
      <c r="C969" s="4">
        <v>567</v>
      </c>
      <c r="D969" s="3" t="str">
        <f t="shared" si="195"/>
        <v>次</v>
      </c>
      <c r="E969" s="3" t="str">
        <f t="shared" si="190"/>
        <v>手术费</v>
      </c>
    </row>
    <row r="970" customHeight="1" spans="1:5">
      <c r="A970" s="5" t="str">
        <f>"阴茎外伤清创术"</f>
        <v>阴茎外伤清创术</v>
      </c>
      <c r="B970" s="3">
        <v>331204004</v>
      </c>
      <c r="C970" s="4">
        <v>284</v>
      </c>
      <c r="D970" s="3" t="str">
        <f t="shared" si="195"/>
        <v>次</v>
      </c>
      <c r="E970" s="3" t="str">
        <f t="shared" si="190"/>
        <v>手术费</v>
      </c>
    </row>
    <row r="971" customHeight="1" spans="1:5">
      <c r="A971" s="5" t="str">
        <f>"阴茎囊肿切除术"</f>
        <v>阴茎囊肿切除术</v>
      </c>
      <c r="B971" s="3">
        <v>331204006</v>
      </c>
      <c r="C971" s="4">
        <v>486</v>
      </c>
      <c r="D971" s="3" t="str">
        <f t="shared" si="195"/>
        <v>次</v>
      </c>
      <c r="E971" s="3" t="str">
        <f t="shared" si="190"/>
        <v>手术费</v>
      </c>
    </row>
    <row r="972" customHeight="1" spans="1:5">
      <c r="A972" s="5" t="str">
        <f>"阴茎部分切除术"</f>
        <v>阴茎部分切除术</v>
      </c>
      <c r="B972" s="3">
        <v>331204007</v>
      </c>
      <c r="C972" s="4">
        <v>756</v>
      </c>
      <c r="D972" s="3" t="str">
        <f t="shared" si="195"/>
        <v>次</v>
      </c>
      <c r="E972" s="3" t="str">
        <f t="shared" si="190"/>
        <v>手术费</v>
      </c>
    </row>
    <row r="973" customHeight="1" spans="1:5">
      <c r="A973" s="5" t="str">
        <f>"卵巢切除术*"</f>
        <v>卵巢切除术*</v>
      </c>
      <c r="B973" s="3">
        <v>331301005</v>
      </c>
      <c r="C973" s="4">
        <v>648</v>
      </c>
      <c r="D973" s="3" t="str">
        <f>"单侧"</f>
        <v>单侧</v>
      </c>
      <c r="E973" s="3" t="str">
        <f t="shared" si="190"/>
        <v>手术费</v>
      </c>
    </row>
    <row r="974" customHeight="1" spans="1:5">
      <c r="A974" s="5" t="str">
        <f>"卵巢癌探查术"</f>
        <v>卵巢癌探查术</v>
      </c>
      <c r="B974" s="3">
        <v>331301007</v>
      </c>
      <c r="C974" s="4">
        <v>972</v>
      </c>
      <c r="D974" s="3" t="str">
        <f t="shared" ref="D974:D996" si="196">"次"</f>
        <v>次</v>
      </c>
      <c r="E974" s="3" t="str">
        <f t="shared" si="190"/>
        <v>手术费</v>
      </c>
    </row>
    <row r="975" customHeight="1" spans="1:5">
      <c r="A975" s="5" t="str">
        <f>"卵巢输卵管切除术"</f>
        <v>卵巢输卵管切除术</v>
      </c>
      <c r="B975" s="3">
        <v>331301008</v>
      </c>
      <c r="C975" s="4">
        <v>756</v>
      </c>
      <c r="D975" s="3">
        <v>1</v>
      </c>
      <c r="E975" s="3" t="str">
        <f t="shared" si="190"/>
        <v>手术费</v>
      </c>
    </row>
    <row r="976" customHeight="1" spans="1:5">
      <c r="A976" s="5" t="str">
        <f>"输卵管结扎术"</f>
        <v>输卵管结扎术</v>
      </c>
      <c r="B976" s="3">
        <v>331302001</v>
      </c>
      <c r="C976" s="4">
        <v>176</v>
      </c>
      <c r="D976" s="3" t="str">
        <f t="shared" si="196"/>
        <v>次</v>
      </c>
      <c r="E976" s="3" t="str">
        <f t="shared" si="190"/>
        <v>手术费</v>
      </c>
    </row>
    <row r="977" customHeight="1" spans="1:5">
      <c r="A977" s="5" t="str">
        <f>"宫颈息肉切除术"</f>
        <v>宫颈息肉切除术</v>
      </c>
      <c r="B977" s="3">
        <v>331303001</v>
      </c>
      <c r="C977" s="4">
        <v>54</v>
      </c>
      <c r="D977" s="3" t="str">
        <f t="shared" si="196"/>
        <v>次</v>
      </c>
      <c r="E977" s="3" t="str">
        <f t="shared" si="190"/>
        <v>手术费</v>
      </c>
    </row>
    <row r="978" customHeight="1" spans="1:5">
      <c r="A978" s="5" t="str">
        <f>"宫颈肌瘤剔除术"</f>
        <v>宫颈肌瘤剔除术</v>
      </c>
      <c r="B978" s="3">
        <v>331303002</v>
      </c>
      <c r="C978" s="4">
        <v>864</v>
      </c>
      <c r="D978" s="3" t="str">
        <f t="shared" si="196"/>
        <v>次</v>
      </c>
      <c r="E978" s="3" t="str">
        <f t="shared" si="190"/>
        <v>手术费</v>
      </c>
    </row>
    <row r="979" customHeight="1" spans="1:5">
      <c r="A979" s="5" t="str">
        <f>"宫颈锥形切除术"</f>
        <v>宫颈锥形切除术</v>
      </c>
      <c r="B979" s="3">
        <v>331303004</v>
      </c>
      <c r="C979" s="4">
        <v>756</v>
      </c>
      <c r="D979" s="3" t="str">
        <f t="shared" si="196"/>
        <v>次</v>
      </c>
      <c r="E979" s="3" t="str">
        <f t="shared" si="190"/>
        <v>手术费</v>
      </c>
    </row>
    <row r="980" customHeight="1" spans="1:5">
      <c r="A980" s="5" t="str">
        <f>"宫颈环形电切术"</f>
        <v>宫颈环形电切术</v>
      </c>
      <c r="B980" s="3">
        <v>331303005</v>
      </c>
      <c r="C980" s="4">
        <v>540</v>
      </c>
      <c r="D980" s="3" t="str">
        <f t="shared" si="196"/>
        <v>次</v>
      </c>
      <c r="E980" s="3" t="str">
        <f t="shared" si="190"/>
        <v>手术费</v>
      </c>
    </row>
    <row r="981" customHeight="1" spans="1:5">
      <c r="A981" s="5" t="str">
        <f>"经腹子宫肌瘤剔除术*"</f>
        <v>经腹子宫肌瘤剔除术*</v>
      </c>
      <c r="B981" s="3">
        <v>331303011</v>
      </c>
      <c r="C981" s="4">
        <v>864</v>
      </c>
      <c r="D981" s="3" t="str">
        <f t="shared" si="196"/>
        <v>次</v>
      </c>
      <c r="E981" s="3" t="str">
        <f t="shared" si="190"/>
        <v>手术费</v>
      </c>
    </row>
    <row r="982" customHeight="1" spans="1:5">
      <c r="A982" s="5" t="str">
        <f>"子宫次全切除术*"</f>
        <v>子宫次全切除术*</v>
      </c>
      <c r="B982" s="3">
        <v>331303012</v>
      </c>
      <c r="C982" s="4">
        <v>864</v>
      </c>
      <c r="D982" s="3" t="str">
        <f t="shared" si="196"/>
        <v>次</v>
      </c>
      <c r="E982" s="3" t="str">
        <f t="shared" si="190"/>
        <v>手术费</v>
      </c>
    </row>
    <row r="983" customHeight="1" spans="1:5">
      <c r="A983" s="5" t="str">
        <f>"子宫内翻复位术"</f>
        <v>子宫内翻复位术</v>
      </c>
      <c r="B983" s="3">
        <v>331303024</v>
      </c>
      <c r="C983" s="4">
        <v>432</v>
      </c>
      <c r="D983" s="3" t="str">
        <f t="shared" si="196"/>
        <v>次</v>
      </c>
      <c r="E983" s="3" t="str">
        <f t="shared" si="190"/>
        <v>手术费</v>
      </c>
    </row>
    <row r="984" customHeight="1" spans="1:5">
      <c r="A984" s="5" t="str">
        <f>"阴道异物取出术"</f>
        <v>阴道异物取出术</v>
      </c>
      <c r="B984" s="3">
        <v>331304001</v>
      </c>
      <c r="C984" s="4">
        <v>162</v>
      </c>
      <c r="D984" s="3" t="str">
        <f t="shared" si="196"/>
        <v>次</v>
      </c>
      <c r="E984" s="3" t="str">
        <f t="shared" si="190"/>
        <v>手术费</v>
      </c>
    </row>
    <row r="985" customHeight="1" spans="1:5">
      <c r="A985" s="5" t="str">
        <f>"阴道裂伤缝合术"</f>
        <v>阴道裂伤缝合术</v>
      </c>
      <c r="B985" s="3">
        <v>331304002</v>
      </c>
      <c r="C985" s="4">
        <v>324</v>
      </c>
      <c r="D985" s="3" t="str">
        <f t="shared" si="196"/>
        <v>次</v>
      </c>
      <c r="E985" s="3" t="str">
        <f t="shared" si="190"/>
        <v>手术费</v>
      </c>
    </row>
    <row r="986" customHeight="1" spans="1:5">
      <c r="A986" s="5" t="str">
        <f>"阴道扩张术"</f>
        <v>阴道扩张术</v>
      </c>
      <c r="B986" s="3">
        <v>331304003</v>
      </c>
      <c r="C986" s="4">
        <v>216</v>
      </c>
      <c r="D986" s="3" t="str">
        <f t="shared" si="196"/>
        <v>次</v>
      </c>
      <c r="E986" s="3" t="str">
        <f t="shared" si="190"/>
        <v>手术费</v>
      </c>
    </row>
    <row r="987" customHeight="1" spans="1:5">
      <c r="A987" s="5" t="str">
        <f>"阴道良性肿物切除术"</f>
        <v>阴道良性肿物切除术</v>
      </c>
      <c r="B987" s="3">
        <v>331304007</v>
      </c>
      <c r="C987" s="4">
        <v>486</v>
      </c>
      <c r="D987" s="3" t="str">
        <f t="shared" si="196"/>
        <v>次</v>
      </c>
      <c r="E987" s="3" t="str">
        <f t="shared" si="190"/>
        <v>手术费</v>
      </c>
    </row>
    <row r="988" customHeight="1" spans="1:5">
      <c r="A988" s="5" t="str">
        <f>"阴道壁血肿切开术"</f>
        <v>阴道壁血肿切开术</v>
      </c>
      <c r="B988" s="3">
        <v>331304010</v>
      </c>
      <c r="C988" s="4">
        <v>432</v>
      </c>
      <c r="D988" s="3" t="str">
        <f t="shared" si="196"/>
        <v>次</v>
      </c>
      <c r="E988" s="3" t="str">
        <f t="shared" si="190"/>
        <v>手术费</v>
      </c>
    </row>
    <row r="989" customHeight="1" spans="1:5">
      <c r="A989" s="5" t="str">
        <f>"外阴损伤缝合术"</f>
        <v>外阴损伤缝合术</v>
      </c>
      <c r="B989" s="3">
        <v>331305001</v>
      </c>
      <c r="C989" s="4">
        <v>324</v>
      </c>
      <c r="D989" s="3" t="str">
        <f t="shared" si="196"/>
        <v>次</v>
      </c>
      <c r="E989" s="3" t="str">
        <f t="shared" si="190"/>
        <v>手术费</v>
      </c>
    </row>
    <row r="990" customHeight="1" spans="1:5">
      <c r="A990" s="5" t="str">
        <f>"外阴脓肿切开引流术"</f>
        <v>外阴脓肿切开引流术</v>
      </c>
      <c r="B990" s="3">
        <v>331305004</v>
      </c>
      <c r="C990" s="4">
        <v>284</v>
      </c>
      <c r="D990" s="3" t="str">
        <f t="shared" si="196"/>
        <v>次</v>
      </c>
      <c r="E990" s="3" t="str">
        <f t="shared" si="190"/>
        <v>手术费</v>
      </c>
    </row>
    <row r="991" customHeight="1" spans="1:5">
      <c r="A991" s="5" t="str">
        <f>"外阴良性肿物切除术"</f>
        <v>外阴良性肿物切除术</v>
      </c>
      <c r="B991" s="3">
        <v>331305005</v>
      </c>
      <c r="C991" s="4">
        <v>324</v>
      </c>
      <c r="D991" s="3" t="str">
        <f t="shared" si="196"/>
        <v>次</v>
      </c>
      <c r="E991" s="3" t="str">
        <f t="shared" si="190"/>
        <v>手术费</v>
      </c>
    </row>
    <row r="992" customHeight="1" spans="1:5">
      <c r="A992" s="5" t="str">
        <f>"前庭大腺囊肿造口术"</f>
        <v>前庭大腺囊肿造口术</v>
      </c>
      <c r="B992" s="3">
        <v>331305012</v>
      </c>
      <c r="C992" s="4">
        <v>216</v>
      </c>
      <c r="D992" s="3" t="str">
        <f t="shared" si="196"/>
        <v>次</v>
      </c>
      <c r="E992" s="3" t="str">
        <f t="shared" si="190"/>
        <v>手术费</v>
      </c>
    </row>
    <row r="993" customHeight="1" spans="1:5">
      <c r="A993" s="5" t="str">
        <f>"前庭大腺囊肿切除术"</f>
        <v>前庭大腺囊肿切除术</v>
      </c>
      <c r="B993" s="3">
        <v>331305013</v>
      </c>
      <c r="C993" s="4">
        <v>216</v>
      </c>
      <c r="D993" s="3" t="str">
        <f t="shared" si="196"/>
        <v>次</v>
      </c>
      <c r="E993" s="3" t="str">
        <f t="shared" si="190"/>
        <v>手术费</v>
      </c>
    </row>
    <row r="994" customHeight="1" spans="1:5">
      <c r="A994" s="5" t="str">
        <f>"死胎接生"</f>
        <v>死胎接生</v>
      </c>
      <c r="B994" s="3">
        <v>331400005</v>
      </c>
      <c r="C994" s="4">
        <v>540</v>
      </c>
      <c r="D994" s="3" t="str">
        <f t="shared" si="196"/>
        <v>次</v>
      </c>
      <c r="E994" s="3" t="str">
        <f t="shared" si="190"/>
        <v>手术费</v>
      </c>
    </row>
    <row r="995" customHeight="1" spans="1:5">
      <c r="A995" s="5" t="str">
        <f>"各种死胎分解术"</f>
        <v>各种死胎分解术</v>
      </c>
      <c r="B995" s="3">
        <v>331400006</v>
      </c>
      <c r="C995" s="4">
        <v>648</v>
      </c>
      <c r="D995" s="3" t="str">
        <f t="shared" si="196"/>
        <v>次</v>
      </c>
      <c r="E995" s="3" t="str">
        <f t="shared" si="190"/>
        <v>手术费</v>
      </c>
    </row>
    <row r="996" customHeight="1" spans="1:5">
      <c r="A996" s="5" t="str">
        <f>"子宫颈裂伤修补术"</f>
        <v>子宫颈裂伤修补术</v>
      </c>
      <c r="B996" s="3">
        <v>331400018</v>
      </c>
      <c r="C996" s="4">
        <v>189</v>
      </c>
      <c r="D996" s="3" t="str">
        <f t="shared" si="196"/>
        <v>次</v>
      </c>
      <c r="E996" s="3" t="str">
        <f t="shared" si="190"/>
        <v>手术费</v>
      </c>
    </row>
    <row r="997" customHeight="1" spans="1:5">
      <c r="A997" s="5" t="str">
        <f>"医用绷带"</f>
        <v>医用绷带</v>
      </c>
      <c r="B997" s="3" t="str">
        <f>"3315-2"</f>
        <v>3315-2</v>
      </c>
      <c r="C997" s="4">
        <v>1.09</v>
      </c>
      <c r="D997" s="3" t="str">
        <f>"6cm*600cm"</f>
        <v>6cm*600cm</v>
      </c>
      <c r="E997" s="3" t="str">
        <f>"材料费"</f>
        <v>材料费</v>
      </c>
    </row>
    <row r="998" customHeight="1" spans="1:5">
      <c r="A998" s="5" t="str">
        <f>"粘胶石膏绷带"</f>
        <v>粘胶石膏绷带</v>
      </c>
      <c r="B998" s="3" t="str">
        <f>"3315-2-2"</f>
        <v>3315-2-2</v>
      </c>
      <c r="C998" s="4">
        <v>10</v>
      </c>
      <c r="D998" s="3" t="str">
        <f>"15cm*460cm"</f>
        <v>15cm*460cm</v>
      </c>
      <c r="E998" s="3" t="str">
        <f>"材料费"</f>
        <v>材料费</v>
      </c>
    </row>
    <row r="999" customHeight="1" spans="1:5">
      <c r="A999" s="5" t="str">
        <f>"髂窝脓肿切开引流术"</f>
        <v>髂窝脓肿切开引流术</v>
      </c>
      <c r="B999" s="3">
        <v>331501017</v>
      </c>
      <c r="C999" s="4">
        <v>756</v>
      </c>
      <c r="D999" s="3" t="str">
        <f t="shared" ref="D999:D1007" si="197">"次"</f>
        <v>次</v>
      </c>
      <c r="E999" s="3" t="str">
        <f t="shared" ref="E999:E1062" si="198">"手术费"</f>
        <v>手术费</v>
      </c>
    </row>
    <row r="1000" customHeight="1" spans="1:5">
      <c r="A1000" s="5" t="str">
        <f>"髂腰肌脓肿切开引流术"</f>
        <v>髂腰肌脓肿切开引流术</v>
      </c>
      <c r="B1000" s="3">
        <v>331501018</v>
      </c>
      <c r="C1000" s="4">
        <v>756</v>
      </c>
      <c r="D1000" s="3" t="str">
        <f t="shared" si="197"/>
        <v>次</v>
      </c>
      <c r="E1000" s="3" t="str">
        <f t="shared" si="198"/>
        <v>手术费</v>
      </c>
    </row>
    <row r="1001" customHeight="1" spans="1:5">
      <c r="A1001" s="5" t="str">
        <f>"腰椎间盘突出摘除术"</f>
        <v>腰椎间盘突出摘除术</v>
      </c>
      <c r="B1001" s="3">
        <v>331501038</v>
      </c>
      <c r="C1001" s="4">
        <v>1300</v>
      </c>
      <c r="D1001" s="3" t="str">
        <f t="shared" si="197"/>
        <v>次</v>
      </c>
      <c r="E1001" s="3" t="str">
        <f t="shared" si="198"/>
        <v>手术费</v>
      </c>
    </row>
    <row r="1002" customHeight="1" spans="1:5">
      <c r="A1002" s="5" t="str">
        <f>"骨肿瘤切开活检术"</f>
        <v>骨肿瘤切开活检术</v>
      </c>
      <c r="B1002" s="3">
        <v>331503016</v>
      </c>
      <c r="C1002" s="4">
        <v>1080</v>
      </c>
      <c r="D1002" s="3" t="str">
        <f t="shared" si="197"/>
        <v>次</v>
      </c>
      <c r="E1002" s="3" t="str">
        <f t="shared" si="198"/>
        <v>手术费</v>
      </c>
    </row>
    <row r="1003" customHeight="1" spans="1:5">
      <c r="A1003" s="5" t="str">
        <f>"内生软骨瘤切除术"</f>
        <v>内生软骨瘤切除术</v>
      </c>
      <c r="B1003" s="3">
        <v>331503019</v>
      </c>
      <c r="C1003" s="4">
        <v>1080</v>
      </c>
      <c r="D1003" s="3" t="str">
        <f t="shared" si="197"/>
        <v>次</v>
      </c>
      <c r="E1003" s="3" t="str">
        <f t="shared" si="198"/>
        <v>手术费</v>
      </c>
    </row>
    <row r="1004" customHeight="1" spans="1:5">
      <c r="A1004" s="5" t="str">
        <f>"锁骨骨折切开复位内固定术"</f>
        <v>锁骨骨折切开复位内固定术</v>
      </c>
      <c r="B1004" s="3">
        <v>331505001</v>
      </c>
      <c r="C1004" s="4">
        <v>972</v>
      </c>
      <c r="D1004" s="3" t="str">
        <f t="shared" si="197"/>
        <v>次</v>
      </c>
      <c r="E1004" s="3" t="str">
        <f t="shared" si="198"/>
        <v>手术费</v>
      </c>
    </row>
    <row r="1005" customHeight="1" spans="1:5">
      <c r="A1005" s="5" t="str">
        <f>"肱骨近端骨折切开复位内固定术"</f>
        <v>肱骨近端骨折切开复位内固定术</v>
      </c>
      <c r="B1005" s="3">
        <v>331505002</v>
      </c>
      <c r="C1005" s="4">
        <v>1080</v>
      </c>
      <c r="D1005" s="3" t="str">
        <f t="shared" si="197"/>
        <v>次</v>
      </c>
      <c r="E1005" s="3" t="str">
        <f t="shared" si="198"/>
        <v>手术费</v>
      </c>
    </row>
    <row r="1006" customHeight="1" spans="1:5">
      <c r="A1006" s="5" t="str">
        <f>"肱骨干骨折切开复位内固定术"</f>
        <v>肱骨干骨折切开复位内固定术</v>
      </c>
      <c r="B1006" s="3">
        <v>331505003</v>
      </c>
      <c r="C1006" s="4">
        <v>1080</v>
      </c>
      <c r="D1006" s="3" t="str">
        <f t="shared" si="197"/>
        <v>次</v>
      </c>
      <c r="E1006" s="3" t="str">
        <f t="shared" si="198"/>
        <v>手术费</v>
      </c>
    </row>
    <row r="1007" customHeight="1" spans="1:5">
      <c r="A1007" s="5" t="str">
        <f>"肱骨骨折切开复位内固定术"</f>
        <v>肱骨骨折切开复位内固定术</v>
      </c>
      <c r="B1007" s="3">
        <v>331505004</v>
      </c>
      <c r="C1007" s="4">
        <v>1080</v>
      </c>
      <c r="D1007" s="3" t="str">
        <f t="shared" si="197"/>
        <v>次</v>
      </c>
      <c r="E1007" s="3" t="str">
        <f t="shared" si="198"/>
        <v>手术费</v>
      </c>
    </row>
    <row r="1008" customHeight="1" spans="1:5">
      <c r="A1008" s="5" t="str">
        <f>"肱骨内外踝骨折切开复位内固定术"</f>
        <v>肱骨内外踝骨折切开复位内固定术</v>
      </c>
      <c r="B1008" s="3">
        <v>331505005</v>
      </c>
      <c r="C1008" s="4">
        <v>1080</v>
      </c>
      <c r="D1008" s="3">
        <v>1</v>
      </c>
      <c r="E1008" s="3" t="str">
        <f t="shared" si="198"/>
        <v>手术费</v>
      </c>
    </row>
    <row r="1009" customHeight="1" spans="1:5">
      <c r="A1009" s="5" t="str">
        <f>"尺骨鹰嘴骨折切开复位内固定术"</f>
        <v>尺骨鹰嘴骨折切开复位内固定术</v>
      </c>
      <c r="B1009" s="3">
        <v>331505006</v>
      </c>
      <c r="C1009" s="4">
        <v>1080</v>
      </c>
      <c r="D1009" s="3" t="str">
        <f t="shared" ref="D1009:D1013" si="199">"次"</f>
        <v>次</v>
      </c>
      <c r="E1009" s="3" t="str">
        <f t="shared" si="198"/>
        <v>手术费</v>
      </c>
    </row>
    <row r="1010" customHeight="1" spans="1:5">
      <c r="A1010" s="5" t="str">
        <f>"桡骨头切除术"</f>
        <v>桡骨头切除术</v>
      </c>
      <c r="B1010" s="3">
        <v>331505007</v>
      </c>
      <c r="C1010" s="4">
        <v>756</v>
      </c>
      <c r="D1010" s="3" t="str">
        <f t="shared" si="199"/>
        <v>次</v>
      </c>
      <c r="E1010" s="3" t="str">
        <f t="shared" si="198"/>
        <v>手术费</v>
      </c>
    </row>
    <row r="1011" customHeight="1" spans="1:5">
      <c r="A1011" s="5" t="str">
        <f>"桡骨骨折切开复位内固定术"</f>
        <v>桡骨骨折切开复位内固定术</v>
      </c>
      <c r="B1011" s="3">
        <v>331505008</v>
      </c>
      <c r="C1011" s="4">
        <v>756</v>
      </c>
      <c r="D1011" s="3">
        <v>1</v>
      </c>
      <c r="E1011" s="3" t="str">
        <f t="shared" si="198"/>
        <v>手术费</v>
      </c>
    </row>
    <row r="1012" customHeight="1" spans="1:5">
      <c r="A1012" s="5" t="str">
        <f>"孟氏骨折切开复位内固定术"</f>
        <v>孟氏骨折切开复位内固定术</v>
      </c>
      <c r="B1012" s="3">
        <v>331505009</v>
      </c>
      <c r="C1012" s="4">
        <v>864</v>
      </c>
      <c r="D1012" s="3" t="str">
        <f t="shared" si="199"/>
        <v>次</v>
      </c>
      <c r="E1012" s="3" t="str">
        <f t="shared" si="198"/>
        <v>手术费</v>
      </c>
    </row>
    <row r="1013" customHeight="1" spans="1:5">
      <c r="A1013" s="5" t="str">
        <f>"桡尺骨干骨折切开复位内固定术"</f>
        <v>桡尺骨干骨折切开复位内固定术</v>
      </c>
      <c r="B1013" s="3">
        <v>331505010</v>
      </c>
      <c r="C1013" s="4">
        <v>864</v>
      </c>
      <c r="D1013" s="3" t="str">
        <f t="shared" si="199"/>
        <v>次</v>
      </c>
      <c r="E1013" s="3" t="str">
        <f t="shared" si="198"/>
        <v>手术费</v>
      </c>
    </row>
    <row r="1014" customHeight="1" spans="1:5">
      <c r="A1014" s="5" t="str">
        <f>"科雷氏骨干骨折切开复位内固定术"</f>
        <v>科雷氏骨干骨折切开复位内固定术</v>
      </c>
      <c r="B1014" s="3">
        <v>331505011</v>
      </c>
      <c r="C1014" s="4">
        <v>864</v>
      </c>
      <c r="D1014" s="3">
        <v>1</v>
      </c>
      <c r="E1014" s="3" t="str">
        <f t="shared" si="198"/>
        <v>手术费</v>
      </c>
    </row>
    <row r="1015" customHeight="1" spans="1:5">
      <c r="A1015" s="5" t="str">
        <f>"股骨干骨折切开复位内固定术"</f>
        <v>股骨干骨折切开复位内固定术</v>
      </c>
      <c r="B1015" s="3">
        <v>331505017</v>
      </c>
      <c r="C1015" s="4">
        <v>1190</v>
      </c>
      <c r="D1015" s="3" t="str">
        <f t="shared" ref="D1015:D1021" si="200">"次"</f>
        <v>次</v>
      </c>
      <c r="E1015" s="3" t="str">
        <f t="shared" si="198"/>
        <v>手术费</v>
      </c>
    </row>
    <row r="1016" customHeight="1" spans="1:5">
      <c r="A1016" s="5" t="str">
        <f>"股骨踝间骨折切开复位内固定术"</f>
        <v>股骨踝间骨折切开复位内固定术</v>
      </c>
      <c r="B1016" s="3">
        <v>331505018</v>
      </c>
      <c r="C1016" s="4">
        <v>1190</v>
      </c>
      <c r="D1016" s="3">
        <v>1</v>
      </c>
      <c r="E1016" s="3" t="str">
        <f t="shared" si="198"/>
        <v>手术费</v>
      </c>
    </row>
    <row r="1017" customHeight="1" spans="1:5">
      <c r="A1017" s="5" t="str">
        <f>"髌骨骨折切开复位内固定术"</f>
        <v>髌骨骨折切开复位内固定术</v>
      </c>
      <c r="B1017" s="3">
        <v>331505019</v>
      </c>
      <c r="C1017" s="4">
        <v>1190</v>
      </c>
      <c r="D1017" s="3" t="str">
        <f t="shared" si="200"/>
        <v>次</v>
      </c>
      <c r="E1017" s="3" t="str">
        <f t="shared" si="198"/>
        <v>手术费</v>
      </c>
    </row>
    <row r="1018" customHeight="1" spans="1:5">
      <c r="A1018" s="5" t="str">
        <f>"胫骨踝间骨折切开复位内固定术"</f>
        <v>胫骨踝间骨折切开复位内固定术</v>
      </c>
      <c r="B1018" s="3">
        <v>331505020</v>
      </c>
      <c r="C1018" s="4">
        <v>1190</v>
      </c>
      <c r="D1018" s="3">
        <v>1</v>
      </c>
      <c r="E1018" s="3" t="str">
        <f t="shared" si="198"/>
        <v>手术费</v>
      </c>
    </row>
    <row r="1019" customHeight="1" spans="1:5">
      <c r="A1019" s="5" t="str">
        <f>"胫（腓）骨干骨折切开复位内固定术"</f>
        <v>胫（腓）骨干骨折切开复位内固定术</v>
      </c>
      <c r="B1019" s="3">
        <v>331505021</v>
      </c>
      <c r="C1019" s="4">
        <v>1080</v>
      </c>
      <c r="D1019" s="3">
        <v>1</v>
      </c>
      <c r="E1019" s="3" t="str">
        <f t="shared" si="198"/>
        <v>手术费</v>
      </c>
    </row>
    <row r="1020" customHeight="1" spans="1:5">
      <c r="A1020" s="5" t="str">
        <f>"内外踝骨折切开复位内固定术"</f>
        <v>内外踝骨折切开复位内固定术</v>
      </c>
      <c r="B1020" s="3">
        <v>331505022</v>
      </c>
      <c r="C1020" s="4">
        <v>1080</v>
      </c>
      <c r="D1020" s="3" t="str">
        <f t="shared" si="200"/>
        <v>次</v>
      </c>
      <c r="E1020" s="3" t="str">
        <f t="shared" si="198"/>
        <v>手术费</v>
      </c>
    </row>
    <row r="1021" customHeight="1" spans="1:5">
      <c r="A1021" s="5" t="str">
        <f>"三踝骨折切开复位内固定术"</f>
        <v>三踝骨折切开复位内固定术</v>
      </c>
      <c r="B1021" s="3">
        <v>331505023</v>
      </c>
      <c r="C1021" s="4">
        <v>1190</v>
      </c>
      <c r="D1021" s="3" t="str">
        <f t="shared" si="200"/>
        <v>次</v>
      </c>
      <c r="E1021" s="3" t="str">
        <f t="shared" si="198"/>
        <v>手术费</v>
      </c>
    </row>
    <row r="1022" customHeight="1" spans="1:5">
      <c r="A1022" s="5" t="str">
        <f>"肱骨干骨折不愈合切开植骨术"</f>
        <v>肱骨干骨折不愈合切开植骨术</v>
      </c>
      <c r="B1022" s="3">
        <v>331505024</v>
      </c>
      <c r="C1022" s="4">
        <v>1190</v>
      </c>
      <c r="D1022" s="3">
        <v>1</v>
      </c>
      <c r="E1022" s="3" t="str">
        <f t="shared" si="198"/>
        <v>手术费</v>
      </c>
    </row>
    <row r="1023" customHeight="1" spans="1:5">
      <c r="A1023" s="5" t="str">
        <f>"尺桡骨骨折不愈合切开植骨内固定术"</f>
        <v>尺桡骨骨折不愈合切开植骨内固定术</v>
      </c>
      <c r="B1023" s="3">
        <v>331505025</v>
      </c>
      <c r="C1023" s="4">
        <v>1190</v>
      </c>
      <c r="D1023" s="3" t="str">
        <f t="shared" ref="D1023:D1027" si="201">"次"</f>
        <v>次</v>
      </c>
      <c r="E1023" s="3" t="str">
        <f t="shared" si="198"/>
        <v>手术费</v>
      </c>
    </row>
    <row r="1024" customHeight="1" spans="1:5">
      <c r="A1024" s="5" t="str">
        <f>"股骨干骨折不愈合切开植骨内固定术"</f>
        <v>股骨干骨折不愈合切开植骨内固定术</v>
      </c>
      <c r="B1024" s="3">
        <v>331505026</v>
      </c>
      <c r="C1024" s="4">
        <v>1190</v>
      </c>
      <c r="D1024" s="3" t="str">
        <f t="shared" si="201"/>
        <v>次</v>
      </c>
      <c r="E1024" s="3" t="str">
        <f t="shared" si="198"/>
        <v>手术费</v>
      </c>
    </row>
    <row r="1025" customHeight="1" spans="1:5">
      <c r="A1025" s="5" t="str">
        <f>"胫腓骨骨折不愈合切开植骨内固定术"</f>
        <v>胫腓骨骨折不愈合切开植骨内固定术</v>
      </c>
      <c r="B1025" s="3">
        <v>331505027</v>
      </c>
      <c r="C1025" s="4">
        <v>1190</v>
      </c>
      <c r="D1025" s="3" t="str">
        <f t="shared" si="201"/>
        <v>次</v>
      </c>
      <c r="E1025" s="3" t="str">
        <f t="shared" si="198"/>
        <v>手术费</v>
      </c>
    </row>
    <row r="1026" customHeight="1" spans="1:5">
      <c r="A1026" s="5" t="str">
        <f>"开放折骨术"</f>
        <v>开放折骨术</v>
      </c>
      <c r="B1026" s="3">
        <v>331505028</v>
      </c>
      <c r="C1026" s="4">
        <v>972</v>
      </c>
      <c r="D1026" s="3" t="str">
        <f t="shared" si="201"/>
        <v>次</v>
      </c>
      <c r="E1026" s="3" t="str">
        <f t="shared" si="198"/>
        <v>手术费</v>
      </c>
    </row>
    <row r="1027" customHeight="1" spans="1:5">
      <c r="A1027" s="5" t="str">
        <f>"骨折内固定装置取出术"</f>
        <v>骨折内固定装置取出术</v>
      </c>
      <c r="B1027" s="3">
        <v>331505037</v>
      </c>
      <c r="C1027" s="4">
        <v>864</v>
      </c>
      <c r="D1027" s="3" t="str">
        <f t="shared" si="201"/>
        <v>次</v>
      </c>
      <c r="E1027" s="3" t="str">
        <f t="shared" si="198"/>
        <v>手术费</v>
      </c>
    </row>
    <row r="1028" customHeight="1" spans="1:5">
      <c r="A1028" s="5" t="str">
        <f>"骨折内固定装置取出术（克氏针）"</f>
        <v>骨折内固定装置取出术（克氏针）</v>
      </c>
      <c r="B1028" s="3" t="str">
        <f>"331505037-a"</f>
        <v>331505037-a</v>
      </c>
      <c r="C1028" s="4">
        <v>432</v>
      </c>
      <c r="D1028" s="3">
        <v>1</v>
      </c>
      <c r="E1028" s="3" t="str">
        <f t="shared" si="198"/>
        <v>手术费</v>
      </c>
    </row>
    <row r="1029" customHeight="1" spans="1:5">
      <c r="A1029" s="5" t="str">
        <f>"肩锁关节脱位切开复位内固定术"</f>
        <v>肩锁关节脱位切开复位内固定术</v>
      </c>
      <c r="B1029" s="3">
        <v>331506001</v>
      </c>
      <c r="C1029" s="4">
        <v>864</v>
      </c>
      <c r="D1029" s="3" t="str">
        <f t="shared" ref="D1029:D1036" si="202">"次"</f>
        <v>次</v>
      </c>
      <c r="E1029" s="3" t="str">
        <f t="shared" si="198"/>
        <v>手术费</v>
      </c>
    </row>
    <row r="1030" customHeight="1" spans="1:5">
      <c r="A1030" s="5" t="str">
        <f>"肩关节脱位切开复位术"</f>
        <v>肩关节脱位切开复位术</v>
      </c>
      <c r="B1030" s="3">
        <v>331506002</v>
      </c>
      <c r="C1030" s="4">
        <v>864</v>
      </c>
      <c r="D1030" s="3" t="str">
        <f t="shared" si="202"/>
        <v>次</v>
      </c>
      <c r="E1030" s="3" t="str">
        <f t="shared" si="198"/>
        <v>手术费</v>
      </c>
    </row>
    <row r="1031" customHeight="1" spans="1:5">
      <c r="A1031" s="5" t="str">
        <f>"陈旧性肘关节前脱位切开复位术"</f>
        <v>陈旧性肘关节前脱位切开复位术</v>
      </c>
      <c r="B1031" s="3">
        <v>331506003</v>
      </c>
      <c r="C1031" s="4">
        <v>864</v>
      </c>
      <c r="D1031" s="3" t="str">
        <f t="shared" si="202"/>
        <v>次</v>
      </c>
      <c r="E1031" s="3" t="str">
        <f t="shared" si="198"/>
        <v>手术费</v>
      </c>
    </row>
    <row r="1032" customHeight="1" spans="1:5">
      <c r="A1032" s="5" t="str">
        <f>"髌骨脱位成形术"</f>
        <v>髌骨脱位成形术</v>
      </c>
      <c r="B1032" s="3">
        <v>331506010</v>
      </c>
      <c r="C1032" s="4">
        <v>1080</v>
      </c>
      <c r="D1032" s="3" t="str">
        <f t="shared" si="202"/>
        <v>次</v>
      </c>
      <c r="E1032" s="3" t="str">
        <f t="shared" si="198"/>
        <v>手术费</v>
      </c>
    </row>
    <row r="1033" customHeight="1" spans="1:5">
      <c r="A1033" s="5" t="str">
        <f>"膝关节前后十字韧带破裂修补术"</f>
        <v>膝关节前后十字韧带破裂修补术</v>
      </c>
      <c r="B1033" s="3">
        <v>331506011</v>
      </c>
      <c r="C1033" s="4">
        <v>1190</v>
      </c>
      <c r="D1033" s="3" t="str">
        <f t="shared" si="202"/>
        <v>次</v>
      </c>
      <c r="E1033" s="3" t="str">
        <f t="shared" si="198"/>
        <v>手术费</v>
      </c>
    </row>
    <row r="1034" customHeight="1" spans="1:5">
      <c r="A1034" s="5" t="str">
        <f>"膝关节前、后十字韧带重建术"</f>
        <v>膝关节前、后十字韧带重建术</v>
      </c>
      <c r="B1034" s="3">
        <v>331506012</v>
      </c>
      <c r="C1034" s="4">
        <v>1190</v>
      </c>
      <c r="D1034" s="3" t="str">
        <f t="shared" si="202"/>
        <v>次</v>
      </c>
      <c r="E1034" s="3" t="str">
        <f t="shared" si="198"/>
        <v>手术费</v>
      </c>
    </row>
    <row r="1035" customHeight="1" spans="1:5">
      <c r="A1035" s="5" t="str">
        <f>"腘窝囊肿切除术"</f>
        <v>腘窝囊肿切除术</v>
      </c>
      <c r="B1035" s="3">
        <v>331506022</v>
      </c>
      <c r="C1035" s="4">
        <v>864</v>
      </c>
      <c r="D1035" s="3" t="str">
        <f t="shared" si="202"/>
        <v>次</v>
      </c>
      <c r="E1035" s="3" t="str">
        <f t="shared" si="198"/>
        <v>手术费</v>
      </c>
    </row>
    <row r="1036" customHeight="1" spans="1:5">
      <c r="A1036" s="5" t="str">
        <f>"髌骨切除+股四头肌修补术"</f>
        <v>髌骨切除+股四头肌修补术</v>
      </c>
      <c r="B1036" s="3">
        <v>331509003</v>
      </c>
      <c r="C1036" s="4">
        <v>1080</v>
      </c>
      <c r="D1036" s="3" t="str">
        <f t="shared" si="202"/>
        <v>次</v>
      </c>
      <c r="E1036" s="3" t="str">
        <f t="shared" si="198"/>
        <v>手术费</v>
      </c>
    </row>
    <row r="1037" customHeight="1" spans="1:5">
      <c r="A1037" s="5" t="str">
        <f>"截指、趾术"</f>
        <v>截指、趾术</v>
      </c>
      <c r="B1037" s="3">
        <v>331513009</v>
      </c>
      <c r="C1037" s="4">
        <v>378</v>
      </c>
      <c r="D1037" s="3">
        <v>1</v>
      </c>
      <c r="E1037" s="3" t="str">
        <f t="shared" si="198"/>
        <v>手术费</v>
      </c>
    </row>
    <row r="1038" customHeight="1" spans="1:5">
      <c r="A1038" s="5" t="str">
        <f>"手部掌指(足部趾)骨折切开复位内固定术"</f>
        <v>手部掌指(足部趾)骨折切开复位内固定术</v>
      </c>
      <c r="B1038" s="3">
        <v>331515001</v>
      </c>
      <c r="C1038" s="4">
        <v>648</v>
      </c>
      <c r="D1038" s="3">
        <v>1</v>
      </c>
      <c r="E1038" s="3" t="str">
        <f t="shared" si="198"/>
        <v>手术费</v>
      </c>
    </row>
    <row r="1039" customHeight="1" spans="1:5">
      <c r="A1039" s="5" t="str">
        <f>"手部关节内骨折切开复位内固定术"</f>
        <v>手部关节内骨折切开复位内固定术</v>
      </c>
      <c r="B1039" s="3">
        <v>331515002</v>
      </c>
      <c r="C1039" s="4">
        <v>648</v>
      </c>
      <c r="D1039" s="3" t="str">
        <f t="shared" ref="D1039:D1042" si="203">"次"</f>
        <v>次</v>
      </c>
      <c r="E1039" s="3" t="str">
        <f t="shared" si="198"/>
        <v>手术费</v>
      </c>
    </row>
    <row r="1040" customHeight="1" spans="1:5">
      <c r="A1040" s="5" t="str">
        <f>"本氏骨折切开复位内固定术"</f>
        <v>本氏骨折切开复位内固定术</v>
      </c>
      <c r="B1040" s="3">
        <v>331515003</v>
      </c>
      <c r="C1040" s="4">
        <v>648</v>
      </c>
      <c r="D1040" s="3">
        <v>1</v>
      </c>
      <c r="E1040" s="3" t="str">
        <f t="shared" si="198"/>
        <v>手术费</v>
      </c>
    </row>
    <row r="1041" customHeight="1" spans="1:5">
      <c r="A1041" s="5" t="str">
        <f>"腕骨骨折切开复位内固定术"</f>
        <v>腕骨骨折切开复位内固定术</v>
      </c>
      <c r="B1041" s="3">
        <v>331515004</v>
      </c>
      <c r="C1041" s="4">
        <v>648</v>
      </c>
      <c r="D1041" s="3" t="str">
        <f t="shared" si="203"/>
        <v>次</v>
      </c>
      <c r="E1041" s="3" t="str">
        <f t="shared" si="198"/>
        <v>手术费</v>
      </c>
    </row>
    <row r="1042" customHeight="1" spans="1:5">
      <c r="A1042" s="5" t="str">
        <f>"手部关节脱位切开复位内固定术"</f>
        <v>手部关节脱位切开复位内固定术</v>
      </c>
      <c r="B1042" s="3">
        <v>331516001</v>
      </c>
      <c r="C1042" s="4">
        <v>864</v>
      </c>
      <c r="D1042" s="3" t="str">
        <f t="shared" si="203"/>
        <v>次</v>
      </c>
      <c r="E1042" s="3" t="str">
        <f t="shared" si="198"/>
        <v>手术费</v>
      </c>
    </row>
    <row r="1043" customHeight="1" spans="1:5">
      <c r="A1043" s="5" t="str">
        <f>"掌指(趾）骨软骨瘤刮除植骨术"</f>
        <v>掌指(趾）骨软骨瘤刮除植骨术</v>
      </c>
      <c r="B1043" s="3">
        <v>331518001</v>
      </c>
      <c r="C1043" s="4">
        <v>864</v>
      </c>
      <c r="D1043" s="3">
        <v>1</v>
      </c>
      <c r="E1043" s="3" t="str">
        <f t="shared" si="198"/>
        <v>手术费</v>
      </c>
    </row>
    <row r="1044" customHeight="1" spans="1:5">
      <c r="A1044" s="5" t="str">
        <f>"舟骨近端切除术"</f>
        <v>舟骨近端切除术</v>
      </c>
      <c r="B1044" s="3">
        <v>331518004</v>
      </c>
      <c r="C1044" s="4">
        <v>864</v>
      </c>
      <c r="D1044" s="3" t="str">
        <f t="shared" ref="D1044:D1053" si="204">"次"</f>
        <v>次</v>
      </c>
      <c r="E1044" s="3" t="str">
        <f t="shared" si="198"/>
        <v>手术费</v>
      </c>
    </row>
    <row r="1045" customHeight="1" spans="1:5">
      <c r="A1045" s="5" t="str">
        <f>"月骨摘除术"</f>
        <v>月骨摘除术</v>
      </c>
      <c r="B1045" s="3">
        <v>331518005</v>
      </c>
      <c r="C1045" s="4">
        <v>864</v>
      </c>
      <c r="D1045" s="3" t="str">
        <f t="shared" si="204"/>
        <v>次</v>
      </c>
      <c r="E1045" s="3" t="str">
        <f t="shared" si="198"/>
        <v>手术费</v>
      </c>
    </row>
    <row r="1046" customHeight="1" spans="1:5">
      <c r="A1046" s="5" t="str">
        <f>"并指、趾分离术"</f>
        <v>并指、趾分离术</v>
      </c>
      <c r="B1046" s="3">
        <v>331519001</v>
      </c>
      <c r="C1046" s="4">
        <v>648</v>
      </c>
      <c r="D1046" s="3">
        <v>1</v>
      </c>
      <c r="E1046" s="3" t="str">
        <f t="shared" si="198"/>
        <v>手术费</v>
      </c>
    </row>
    <row r="1047" customHeight="1" spans="1:5">
      <c r="A1047" s="5" t="str">
        <f>"多指切除术"</f>
        <v>多指切除术</v>
      </c>
      <c r="B1047" s="3">
        <v>331519008</v>
      </c>
      <c r="C1047" s="4">
        <v>486</v>
      </c>
      <c r="D1047" s="3" t="str">
        <f t="shared" si="204"/>
        <v>次</v>
      </c>
      <c r="E1047" s="3" t="str">
        <f t="shared" si="198"/>
        <v>手术费</v>
      </c>
    </row>
    <row r="1048" customHeight="1" spans="1:5">
      <c r="A1048" s="5" t="str">
        <f>"腕关节韧带修补术"</f>
        <v>腕关节韧带修补术</v>
      </c>
      <c r="B1048" s="3">
        <v>331520001</v>
      </c>
      <c r="C1048" s="4">
        <v>648</v>
      </c>
      <c r="D1048" s="3" t="str">
        <f t="shared" si="204"/>
        <v>次</v>
      </c>
      <c r="E1048" s="3" t="str">
        <f t="shared" si="198"/>
        <v>手术费</v>
      </c>
    </row>
    <row r="1049" customHeight="1" spans="1:5">
      <c r="A1049" s="5" t="str">
        <f>"指间或掌指关节侧副韧带修补术"</f>
        <v>指间或掌指关节侧副韧带修补术</v>
      </c>
      <c r="B1049" s="3">
        <v>331520002</v>
      </c>
      <c r="C1049" s="4">
        <v>648</v>
      </c>
      <c r="D1049" s="3" t="str">
        <f t="shared" si="204"/>
        <v>次</v>
      </c>
      <c r="E1049" s="3" t="str">
        <f t="shared" si="198"/>
        <v>手术费</v>
      </c>
    </row>
    <row r="1050" customHeight="1" spans="1:5">
      <c r="A1050" s="5" t="str">
        <f>"手部外伤皮肤缺损游离植皮术"</f>
        <v>手部外伤皮肤缺损游离植皮术</v>
      </c>
      <c r="B1050" s="3">
        <v>331520003</v>
      </c>
      <c r="C1050" s="4">
        <v>648</v>
      </c>
      <c r="D1050" s="3" t="str">
        <f t="shared" si="204"/>
        <v>次</v>
      </c>
      <c r="E1050" s="3" t="str">
        <f t="shared" si="198"/>
        <v>手术费</v>
      </c>
    </row>
    <row r="1051" customHeight="1" spans="1:5">
      <c r="A1051" s="5" t="str">
        <f>"手部外伤皮肤缺损游离植皮术多手指加收"</f>
        <v>手部外伤皮肤缺损游离植皮术多手指加收</v>
      </c>
      <c r="B1051" s="3" t="str">
        <f>"331520003-a"</f>
        <v>331520003-a</v>
      </c>
      <c r="C1051" s="4">
        <v>300</v>
      </c>
      <c r="D1051" s="3" t="str">
        <f t="shared" si="204"/>
        <v>次</v>
      </c>
      <c r="E1051" s="3" t="str">
        <f t="shared" si="198"/>
        <v>手术费</v>
      </c>
    </row>
    <row r="1052" customHeight="1" spans="1:5">
      <c r="A1052" s="5" t="str">
        <f>"手部外伤皮肤缺损游离植皮术手掌背、前臂者加收"</f>
        <v>手部外伤皮肤缺损游离植皮术手掌背、前臂者加收</v>
      </c>
      <c r="B1052" s="3" t="str">
        <f>"331520003-b"</f>
        <v>331520003-b</v>
      </c>
      <c r="C1052" s="4">
        <v>300</v>
      </c>
      <c r="D1052" s="3" t="str">
        <f t="shared" si="204"/>
        <v>次</v>
      </c>
      <c r="E1052" s="3" t="str">
        <f t="shared" si="198"/>
        <v>手术费</v>
      </c>
    </row>
    <row r="1053" customHeight="1" spans="1:5">
      <c r="A1053" s="5" t="str">
        <f>"手外伤推进皮瓣(V—Y)术双V—Y加收"</f>
        <v>手外伤推进皮瓣(V—Y)术双V—Y加收</v>
      </c>
      <c r="B1053" s="3" t="str">
        <f>"331521006-a"</f>
        <v>331521006-a</v>
      </c>
      <c r="C1053" s="4">
        <v>150</v>
      </c>
      <c r="D1053" s="3" t="str">
        <f t="shared" si="204"/>
        <v>次</v>
      </c>
      <c r="E1053" s="3" t="str">
        <f t="shared" si="198"/>
        <v>手术费</v>
      </c>
    </row>
    <row r="1054" customHeight="1" spans="1:5">
      <c r="A1054" s="5" t="str">
        <f>"手(脚)外伤清创术"</f>
        <v>手(脚)外伤清创术</v>
      </c>
      <c r="B1054" s="3">
        <v>331521008</v>
      </c>
      <c r="C1054" s="4">
        <v>162</v>
      </c>
      <c r="D1054" s="3">
        <v>1</v>
      </c>
      <c r="E1054" s="3" t="str">
        <f t="shared" si="198"/>
        <v>手术费</v>
      </c>
    </row>
    <row r="1055" customHeight="1" spans="1:5">
      <c r="A1055" s="5" t="str">
        <f>"手(脚)外伤清创术加收"</f>
        <v>手(脚)外伤清创术加收</v>
      </c>
      <c r="B1055" s="3" t="str">
        <f>"331521008-a"</f>
        <v>331521008-a</v>
      </c>
      <c r="C1055" s="4">
        <v>150</v>
      </c>
      <c r="D1055" s="3">
        <v>1</v>
      </c>
      <c r="E1055" s="3" t="str">
        <f t="shared" si="198"/>
        <v>手术费</v>
      </c>
    </row>
    <row r="1056" customHeight="1" spans="1:5">
      <c r="A1056" s="5" t="str">
        <f>"手外伤清创术手掌背、前臂者加收"</f>
        <v>手外伤清创术手掌背、前臂者加收</v>
      </c>
      <c r="B1056" s="3" t="str">
        <f>"331521008-b"</f>
        <v>331521008-b</v>
      </c>
      <c r="C1056" s="4">
        <v>150</v>
      </c>
      <c r="D1056" s="3" t="str">
        <f t="shared" ref="D1056:D1062" si="205">"次"</f>
        <v>次</v>
      </c>
      <c r="E1056" s="3" t="str">
        <f t="shared" si="198"/>
        <v>手术费</v>
      </c>
    </row>
    <row r="1057" customHeight="1" spans="1:5">
      <c r="A1057" s="5" t="str">
        <f>"伸腕功能重建术"</f>
        <v>伸腕功能重建术</v>
      </c>
      <c r="B1057" s="3">
        <v>331521012</v>
      </c>
      <c r="C1057" s="4">
        <v>864</v>
      </c>
      <c r="D1057" s="3" t="str">
        <f t="shared" si="205"/>
        <v>次</v>
      </c>
      <c r="E1057" s="3" t="str">
        <f t="shared" si="198"/>
        <v>手术费</v>
      </c>
    </row>
    <row r="1058" customHeight="1" spans="1:5">
      <c r="A1058" s="5" t="str">
        <f>"缩窄性腱鞘膜炎切开术"</f>
        <v>缩窄性腱鞘膜炎切开术</v>
      </c>
      <c r="B1058" s="3">
        <v>331521016</v>
      </c>
      <c r="C1058" s="4">
        <v>540</v>
      </c>
      <c r="D1058" s="3">
        <v>1</v>
      </c>
      <c r="E1058" s="3" t="str">
        <f t="shared" si="198"/>
        <v>手术费</v>
      </c>
    </row>
    <row r="1059" customHeight="1" spans="1:5">
      <c r="A1059" s="5" t="str">
        <f>"腱鞘囊肿切除术"</f>
        <v>腱鞘囊肿切除术</v>
      </c>
      <c r="B1059" s="3">
        <v>331521017</v>
      </c>
      <c r="C1059" s="4">
        <v>432</v>
      </c>
      <c r="D1059" s="3" t="str">
        <f t="shared" si="205"/>
        <v>次</v>
      </c>
      <c r="E1059" s="3" t="str">
        <f t="shared" si="198"/>
        <v>手术费</v>
      </c>
    </row>
    <row r="1060" customHeight="1" spans="1:5">
      <c r="A1060" s="5" t="str">
        <f>"掌筋膜挛缩切除术"</f>
        <v>掌筋膜挛缩切除术</v>
      </c>
      <c r="B1060" s="3">
        <v>331521018</v>
      </c>
      <c r="C1060" s="4">
        <v>648</v>
      </c>
      <c r="D1060" s="3" t="str">
        <f t="shared" si="205"/>
        <v>次</v>
      </c>
      <c r="E1060" s="3" t="str">
        <f t="shared" si="198"/>
        <v>手术费</v>
      </c>
    </row>
    <row r="1061" customHeight="1" spans="1:5">
      <c r="A1061" s="5" t="str">
        <f>"手部皮肤撕脱伤修复术"</f>
        <v>手部皮肤撕脱伤修复术</v>
      </c>
      <c r="B1061" s="3">
        <v>331521021</v>
      </c>
      <c r="C1061" s="4">
        <v>648</v>
      </c>
      <c r="D1061" s="3" t="str">
        <f t="shared" si="205"/>
        <v>次</v>
      </c>
      <c r="E1061" s="3" t="str">
        <f t="shared" si="198"/>
        <v>手术费</v>
      </c>
    </row>
    <row r="1062" customHeight="1" spans="1:5">
      <c r="A1062" s="5" t="str">
        <f>"肌腱粘连松解术"</f>
        <v>肌腱粘连松解术</v>
      </c>
      <c r="B1062" s="3">
        <v>331521028</v>
      </c>
      <c r="C1062" s="4">
        <v>648</v>
      </c>
      <c r="D1062" s="3" t="str">
        <f t="shared" si="205"/>
        <v>次</v>
      </c>
      <c r="E1062" s="3" t="str">
        <f t="shared" si="198"/>
        <v>手术费</v>
      </c>
    </row>
    <row r="1063" customHeight="1" spans="1:5">
      <c r="A1063" s="5" t="str">
        <f>"肌腱粘连松解术加收"</f>
        <v>肌腱粘连松解术加收</v>
      </c>
      <c r="B1063" s="3" t="str">
        <f>"331521028-a"</f>
        <v>331521028-a</v>
      </c>
      <c r="C1063" s="4">
        <v>300</v>
      </c>
      <c r="D1063" s="3">
        <v>1</v>
      </c>
      <c r="E1063" s="3" t="str">
        <f t="shared" ref="E1063:E1074" si="206">"手术费"</f>
        <v>手术费</v>
      </c>
    </row>
    <row r="1064" customHeight="1" spans="1:5">
      <c r="A1064" s="5" t="str">
        <f>"屈伸指肌腱吻合术"</f>
        <v>屈伸指肌腱吻合术</v>
      </c>
      <c r="B1064" s="3">
        <v>331521029</v>
      </c>
      <c r="C1064" s="4">
        <v>648</v>
      </c>
      <c r="D1064" s="3" t="str">
        <f t="shared" ref="D1064:D1068" si="207">"次"</f>
        <v>次</v>
      </c>
      <c r="E1064" s="3" t="str">
        <f t="shared" si="206"/>
        <v>手术费</v>
      </c>
    </row>
    <row r="1065" customHeight="1" spans="1:5">
      <c r="A1065" s="5" t="str">
        <f>"指蹼成形术"</f>
        <v>指蹼成形术</v>
      </c>
      <c r="B1065" s="3">
        <v>331521040</v>
      </c>
      <c r="C1065" s="4">
        <v>648</v>
      </c>
      <c r="D1065" s="3" t="str">
        <f t="shared" si="207"/>
        <v>次</v>
      </c>
      <c r="E1065" s="3" t="str">
        <f t="shared" si="206"/>
        <v>手术费</v>
      </c>
    </row>
    <row r="1066" customHeight="1" spans="1:5">
      <c r="A1066" s="5" t="str">
        <f>"甲床修补术"</f>
        <v>甲床修补术</v>
      </c>
      <c r="B1066" s="3">
        <v>331521041</v>
      </c>
      <c r="C1066" s="4">
        <v>284</v>
      </c>
      <c r="D1066" s="3" t="str">
        <f t="shared" si="207"/>
        <v>次</v>
      </c>
      <c r="E1066" s="3" t="str">
        <f t="shared" si="206"/>
        <v>手术费</v>
      </c>
    </row>
    <row r="1067" customHeight="1" spans="1:5">
      <c r="A1067" s="5" t="str">
        <f>"肱二头肌腱断裂修补术"</f>
        <v>肱二头肌腱断裂修补术</v>
      </c>
      <c r="B1067" s="3">
        <v>331522006</v>
      </c>
      <c r="C1067" s="4">
        <v>864</v>
      </c>
      <c r="D1067" s="3" t="str">
        <f t="shared" si="207"/>
        <v>次</v>
      </c>
      <c r="E1067" s="3" t="str">
        <f t="shared" si="206"/>
        <v>手术费</v>
      </c>
    </row>
    <row r="1068" customHeight="1" spans="1:5">
      <c r="A1068" s="5" t="str">
        <f>"臀大肌挛缩切除术"</f>
        <v>臀大肌挛缩切除术</v>
      </c>
      <c r="B1068" s="3">
        <v>331522012</v>
      </c>
      <c r="C1068" s="4">
        <v>648</v>
      </c>
      <c r="D1068" s="3" t="str">
        <f t="shared" si="207"/>
        <v>次</v>
      </c>
      <c r="E1068" s="3" t="str">
        <f t="shared" si="206"/>
        <v>手术费</v>
      </c>
    </row>
    <row r="1069" customHeight="1" spans="1:5">
      <c r="A1069" s="5" t="str">
        <f>"下肢筋膜间室综合症切开减压术"</f>
        <v>下肢筋膜间室综合症切开减压术</v>
      </c>
      <c r="B1069" s="3">
        <v>331522014</v>
      </c>
      <c r="C1069" s="4">
        <v>864</v>
      </c>
      <c r="D1069" s="3">
        <v>1</v>
      </c>
      <c r="E1069" s="3" t="str">
        <f t="shared" si="206"/>
        <v>手术费</v>
      </c>
    </row>
    <row r="1070" customHeight="1" spans="1:5">
      <c r="A1070" s="5" t="str">
        <f>"跟腱断裂修补术"</f>
        <v>跟腱断裂修补术</v>
      </c>
      <c r="B1070" s="3">
        <v>331522016</v>
      </c>
      <c r="C1070" s="4">
        <v>864</v>
      </c>
      <c r="D1070" s="3" t="str">
        <f t="shared" ref="D1070:D1072" si="208">"次"</f>
        <v>次</v>
      </c>
      <c r="E1070" s="3" t="str">
        <f t="shared" si="206"/>
        <v>手术费</v>
      </c>
    </row>
    <row r="1071" customHeight="1" spans="1:5">
      <c r="A1071" s="5" t="str">
        <f>"手法牵引复位术"</f>
        <v>手法牵引复位术</v>
      </c>
      <c r="B1071" s="3">
        <v>331523001</v>
      </c>
      <c r="C1071" s="4">
        <v>108</v>
      </c>
      <c r="D1071" s="3" t="str">
        <f t="shared" si="208"/>
        <v>次</v>
      </c>
      <c r="E1071" s="3" t="str">
        <f t="shared" si="206"/>
        <v>手术费</v>
      </c>
    </row>
    <row r="1072" customHeight="1" spans="1:5">
      <c r="A1072" s="5" t="str">
        <f>"皮肤牵引术"</f>
        <v>皮肤牵引术</v>
      </c>
      <c r="B1072" s="3">
        <v>331523002</v>
      </c>
      <c r="C1072" s="4">
        <v>54</v>
      </c>
      <c r="D1072" s="3" t="str">
        <f t="shared" si="208"/>
        <v>次</v>
      </c>
      <c r="E1072" s="3" t="str">
        <f t="shared" si="206"/>
        <v>手术费</v>
      </c>
    </row>
    <row r="1073" customHeight="1" spans="1:5">
      <c r="A1073" s="5" t="str">
        <f>"皮肤牵引术以后持续牵引"</f>
        <v>皮肤牵引术以后持续牵引</v>
      </c>
      <c r="B1073" s="3" t="str">
        <f>"331523002-a"</f>
        <v>331523002-a</v>
      </c>
      <c r="C1073" s="4">
        <v>11</v>
      </c>
      <c r="D1073" s="3" t="str">
        <f>"日"</f>
        <v>日</v>
      </c>
      <c r="E1073" s="3" t="str">
        <f t="shared" si="206"/>
        <v>手术费</v>
      </c>
    </row>
    <row r="1074" customHeight="1" spans="1:5">
      <c r="A1074" s="5" t="str">
        <f>"骨骼牵引术"</f>
        <v>骨骼牵引术</v>
      </c>
      <c r="B1074" s="3">
        <v>331523003</v>
      </c>
      <c r="C1074" s="4">
        <v>97</v>
      </c>
      <c r="D1074" s="3" t="str">
        <f t="shared" ref="D1074:D1080" si="209">"次"</f>
        <v>次</v>
      </c>
      <c r="E1074" s="3" t="str">
        <f t="shared" si="206"/>
        <v>手术费</v>
      </c>
    </row>
    <row r="1075" customHeight="1" spans="1:5">
      <c r="A1075" s="5" t="str">
        <f>"骨髂牵引术"</f>
        <v>骨髂牵引术</v>
      </c>
      <c r="B1075" s="3" t="str">
        <f>"331523003-a"</f>
        <v>331523003-a</v>
      </c>
      <c r="C1075" s="4">
        <v>11</v>
      </c>
      <c r="D1075" s="3">
        <v>1</v>
      </c>
      <c r="E1075" s="3" t="str">
        <f>"治疗费"</f>
        <v>治疗费</v>
      </c>
    </row>
    <row r="1076" customHeight="1" spans="1:5">
      <c r="A1076" s="5" t="str">
        <f>"石膏固定术(特大)"</f>
        <v>石膏固定术(特大)</v>
      </c>
      <c r="B1076" s="3">
        <v>331523006</v>
      </c>
      <c r="C1076" s="4">
        <v>162</v>
      </c>
      <c r="D1076" s="3" t="str">
        <f t="shared" si="209"/>
        <v>次</v>
      </c>
      <c r="E1076" s="3" t="str">
        <f t="shared" ref="E1076:E1080" si="210">"手术费"</f>
        <v>手术费</v>
      </c>
    </row>
    <row r="1077" customHeight="1" spans="1:5">
      <c r="A1077" s="5" t="str">
        <f>"石膏固定术(大)"</f>
        <v>石膏固定术(大)</v>
      </c>
      <c r="B1077" s="3">
        <v>331523007</v>
      </c>
      <c r="C1077" s="4">
        <v>108</v>
      </c>
      <c r="D1077" s="3" t="str">
        <f t="shared" si="209"/>
        <v>次</v>
      </c>
      <c r="E1077" s="3" t="str">
        <f t="shared" si="210"/>
        <v>手术费</v>
      </c>
    </row>
    <row r="1078" customHeight="1" spans="1:5">
      <c r="A1078" s="5" t="str">
        <f>"石膏固定术(中)"</f>
        <v>石膏固定术(中)</v>
      </c>
      <c r="B1078" s="3">
        <v>331523008</v>
      </c>
      <c r="C1078" s="4">
        <v>97</v>
      </c>
      <c r="D1078" s="3" t="str">
        <f t="shared" si="209"/>
        <v>次</v>
      </c>
      <c r="E1078" s="3" t="str">
        <f t="shared" si="210"/>
        <v>手术费</v>
      </c>
    </row>
    <row r="1079" customHeight="1" spans="1:5">
      <c r="A1079" s="5" t="str">
        <f>"石膏固定术(小)"</f>
        <v>石膏固定术(小)</v>
      </c>
      <c r="B1079" s="3">
        <v>331523009</v>
      </c>
      <c r="C1079" s="4">
        <v>43</v>
      </c>
      <c r="D1079" s="3" t="str">
        <f t="shared" si="209"/>
        <v>次</v>
      </c>
      <c r="E1079" s="3" t="str">
        <f t="shared" si="210"/>
        <v>手术费</v>
      </c>
    </row>
    <row r="1080" customHeight="1" spans="1:5">
      <c r="A1080" s="5" t="str">
        <f>"石膏拆除术"</f>
        <v>石膏拆除术</v>
      </c>
      <c r="B1080" s="3">
        <v>331523010</v>
      </c>
      <c r="C1080" s="4">
        <v>22</v>
      </c>
      <c r="D1080" s="3" t="str">
        <f t="shared" si="209"/>
        <v>次</v>
      </c>
      <c r="E1080" s="3" t="str">
        <f t="shared" si="210"/>
        <v>手术费</v>
      </c>
    </row>
    <row r="1081" customHeight="1" spans="1:5">
      <c r="A1081" s="5" t="str">
        <f>"各部位多头带包扎术"</f>
        <v>各部位多头带包扎术</v>
      </c>
      <c r="B1081" s="3">
        <v>331523011</v>
      </c>
      <c r="C1081" s="4">
        <v>27</v>
      </c>
      <c r="D1081" s="3" t="str">
        <f>"每个部位"</f>
        <v>每个部位</v>
      </c>
      <c r="E1081" s="3" t="str">
        <f>"治疗费"</f>
        <v>治疗费</v>
      </c>
    </row>
    <row r="1082" customHeight="1" spans="1:5">
      <c r="A1082" s="5" t="str">
        <f>"乳腺肿物穿刺术"</f>
        <v>乳腺肿物穿刺术</v>
      </c>
      <c r="B1082" s="3">
        <v>331601001</v>
      </c>
      <c r="C1082" s="4">
        <v>76</v>
      </c>
      <c r="D1082" s="3" t="str">
        <f t="shared" ref="D1082:D1089" si="211">"次"</f>
        <v>次</v>
      </c>
      <c r="E1082" s="3" t="str">
        <f t="shared" ref="E1082:E1089" si="212">"手术费"</f>
        <v>手术费</v>
      </c>
    </row>
    <row r="1083" customHeight="1" spans="1:5">
      <c r="A1083" s="5" t="str">
        <f>"乳腺肿物穿刺术乳腺立体定位加收"</f>
        <v>乳腺肿物穿刺术乳腺立体定位加收</v>
      </c>
      <c r="B1083" s="3" t="str">
        <f>"331601001-a"</f>
        <v>331601001-a</v>
      </c>
      <c r="C1083" s="4">
        <v>15</v>
      </c>
      <c r="D1083" s="3" t="str">
        <f t="shared" si="211"/>
        <v>次</v>
      </c>
      <c r="E1083" s="3" t="str">
        <f t="shared" si="212"/>
        <v>手术费</v>
      </c>
    </row>
    <row r="1084" customHeight="1" spans="1:5">
      <c r="A1084" s="5" t="str">
        <f>"乳腺肿物切除术"</f>
        <v>乳腺肿物切除术</v>
      </c>
      <c r="B1084" s="3">
        <v>331601002</v>
      </c>
      <c r="C1084" s="4">
        <v>324</v>
      </c>
      <c r="D1084" s="3" t="str">
        <f t="shared" ref="D1084:D1086" si="213">"单侧"</f>
        <v>单侧</v>
      </c>
      <c r="E1084" s="3" t="str">
        <f t="shared" si="212"/>
        <v>手术费</v>
      </c>
    </row>
    <row r="1085" customHeight="1" spans="1:5">
      <c r="A1085" s="5" t="str">
        <f>"副乳切除术"</f>
        <v>副乳切除术</v>
      </c>
      <c r="B1085" s="3">
        <v>331601003</v>
      </c>
      <c r="C1085" s="4">
        <v>432</v>
      </c>
      <c r="D1085" s="3" t="str">
        <f t="shared" si="213"/>
        <v>单侧</v>
      </c>
      <c r="E1085" s="3" t="str">
        <f t="shared" si="212"/>
        <v>手术费</v>
      </c>
    </row>
    <row r="1086" customHeight="1" spans="1:5">
      <c r="A1086" s="5" t="str">
        <f>"单纯乳房切除术"</f>
        <v>单纯乳房切除术</v>
      </c>
      <c r="B1086" s="3">
        <v>331601004</v>
      </c>
      <c r="C1086" s="4">
        <v>540</v>
      </c>
      <c r="D1086" s="3" t="str">
        <f t="shared" si="213"/>
        <v>单侧</v>
      </c>
      <c r="E1086" s="3" t="str">
        <f t="shared" si="212"/>
        <v>手术费</v>
      </c>
    </row>
    <row r="1087" customHeight="1" spans="1:5">
      <c r="A1087" s="5" t="str">
        <f>"脓肿切开引流术"</f>
        <v>脓肿切开引流术</v>
      </c>
      <c r="B1087" s="3">
        <v>331602001</v>
      </c>
      <c r="C1087" s="4">
        <v>97</v>
      </c>
      <c r="D1087" s="3" t="str">
        <f t="shared" si="211"/>
        <v>次</v>
      </c>
      <c r="E1087" s="3" t="str">
        <f t="shared" si="212"/>
        <v>手术费</v>
      </c>
    </row>
    <row r="1088" customHeight="1" spans="1:5">
      <c r="A1088" s="5" t="str">
        <f>"体表异物取出术"</f>
        <v>体表异物取出术</v>
      </c>
      <c r="B1088" s="3">
        <v>331602002</v>
      </c>
      <c r="C1088" s="4">
        <v>108</v>
      </c>
      <c r="D1088" s="3" t="str">
        <f t="shared" si="211"/>
        <v>次</v>
      </c>
      <c r="E1088" s="3" t="str">
        <f t="shared" si="212"/>
        <v>手术费</v>
      </c>
    </row>
    <row r="1089" customHeight="1" spans="1:5">
      <c r="A1089" s="5" t="str">
        <f>"浅表肿物切除术"</f>
        <v>浅表肿物切除术</v>
      </c>
      <c r="B1089" s="3">
        <v>331602004</v>
      </c>
      <c r="C1089" s="4">
        <v>108</v>
      </c>
      <c r="D1089" s="3" t="str">
        <f t="shared" si="211"/>
        <v>次</v>
      </c>
      <c r="E1089" s="3" t="str">
        <f t="shared" si="212"/>
        <v>手术费</v>
      </c>
    </row>
    <row r="1090" customHeight="1" spans="1:5">
      <c r="A1090" s="5" t="str">
        <f>"皮脂腺囊肿切除术"</f>
        <v>皮脂腺囊肿切除术</v>
      </c>
      <c r="B1090" s="3" t="str">
        <f>"331602004-2"</f>
        <v>331602004-2</v>
      </c>
      <c r="C1090" s="4">
        <v>108</v>
      </c>
      <c r="D1090" s="3" t="str">
        <f>"每个肿物"</f>
        <v>每个肿物</v>
      </c>
      <c r="E1090" s="3" t="str">
        <f>"手术治疗费"</f>
        <v>手术治疗费</v>
      </c>
    </row>
    <row r="1091" customHeight="1" spans="1:5">
      <c r="A1091" s="5" t="str">
        <f>"纤维瘤切除术"</f>
        <v>纤维瘤切除术</v>
      </c>
      <c r="B1091" s="3" t="str">
        <f>"331602004-3"</f>
        <v>331602004-3</v>
      </c>
      <c r="C1091" s="4">
        <v>108</v>
      </c>
      <c r="D1091" s="3">
        <v>1</v>
      </c>
      <c r="E1091" s="3" t="str">
        <f t="shared" ref="E1091:E1112" si="214">"手术费"</f>
        <v>手术费</v>
      </c>
    </row>
    <row r="1092" customHeight="1" spans="1:5">
      <c r="A1092" s="5" t="str">
        <f>"疣切除术"</f>
        <v>疣切除术</v>
      </c>
      <c r="B1092" s="3" t="str">
        <f>"331602004-4"</f>
        <v>331602004-4</v>
      </c>
      <c r="C1092" s="4">
        <v>108</v>
      </c>
      <c r="D1092" s="3">
        <v>1</v>
      </c>
      <c r="E1092" s="3" t="str">
        <f t="shared" si="214"/>
        <v>手术费</v>
      </c>
    </row>
    <row r="1093" customHeight="1" spans="1:5">
      <c r="A1093" s="5" t="str">
        <f>"痣切除术"</f>
        <v>痣切除术</v>
      </c>
      <c r="B1093" s="3" t="str">
        <f>"331602004-5"</f>
        <v>331602004-5</v>
      </c>
      <c r="C1093" s="4">
        <v>108</v>
      </c>
      <c r="D1093" s="3">
        <v>1</v>
      </c>
      <c r="E1093" s="3" t="str">
        <f t="shared" si="214"/>
        <v>手术费</v>
      </c>
    </row>
    <row r="1094" customHeight="1" spans="1:5">
      <c r="A1094" s="5" t="str">
        <f>"浅表肿物切除术激光手术加收"</f>
        <v>浅表肿物切除术激光手术加收</v>
      </c>
      <c r="B1094" s="3" t="str">
        <f>"331602004-a"</f>
        <v>331602004-a</v>
      </c>
      <c r="C1094" s="4">
        <v>30</v>
      </c>
      <c r="D1094" s="3" t="str">
        <f t="shared" ref="D1094:D1099" si="215">"次"</f>
        <v>次</v>
      </c>
      <c r="E1094" s="3" t="str">
        <f t="shared" si="214"/>
        <v>手术费</v>
      </c>
    </row>
    <row r="1095" customHeight="1" spans="1:5">
      <c r="A1095" s="5" t="str">
        <f>"海绵状血管瘤切除术(中)"</f>
        <v>海绵状血管瘤切除术(中)</v>
      </c>
      <c r="B1095" s="3">
        <v>331602006</v>
      </c>
      <c r="C1095" s="4">
        <v>972</v>
      </c>
      <c r="D1095" s="3" t="str">
        <f t="shared" si="215"/>
        <v>次</v>
      </c>
      <c r="E1095" s="3" t="str">
        <f t="shared" si="214"/>
        <v>手术费</v>
      </c>
    </row>
    <row r="1096" customHeight="1" spans="1:5">
      <c r="A1096" s="5" t="str">
        <f>"海绵状血管瘤切除术(小)"</f>
        <v>海绵状血管瘤切除术(小)</v>
      </c>
      <c r="B1096" s="3">
        <v>331602007</v>
      </c>
      <c r="C1096" s="4">
        <v>648</v>
      </c>
      <c r="D1096" s="3" t="str">
        <f t="shared" si="215"/>
        <v>次</v>
      </c>
      <c r="E1096" s="3" t="str">
        <f t="shared" si="214"/>
        <v>手术费</v>
      </c>
    </row>
    <row r="1097" customHeight="1" spans="1:5">
      <c r="A1097" s="5" t="str">
        <f>"海绵状血管瘤切除术(小)需植皮术加收"</f>
        <v>海绵状血管瘤切除术(小)需植皮术加收</v>
      </c>
      <c r="B1097" s="3" t="str">
        <f>"331602007-a"</f>
        <v>331602007-a</v>
      </c>
      <c r="C1097" s="4">
        <v>150</v>
      </c>
      <c r="D1097" s="3" t="str">
        <f t="shared" si="215"/>
        <v>次</v>
      </c>
      <c r="E1097" s="3" t="str">
        <f t="shared" si="214"/>
        <v>手术费</v>
      </c>
    </row>
    <row r="1098" customHeight="1" spans="1:5">
      <c r="A1098" s="5" t="str">
        <f>"头皮撕脱清创修复术"</f>
        <v>头皮撕脱清创修复术</v>
      </c>
      <c r="B1098" s="3">
        <v>331602009</v>
      </c>
      <c r="C1098" s="4">
        <v>648</v>
      </c>
      <c r="D1098" s="3" t="str">
        <f t="shared" si="215"/>
        <v>次</v>
      </c>
      <c r="E1098" s="3" t="str">
        <f t="shared" si="214"/>
        <v>手术费</v>
      </c>
    </row>
    <row r="1099" customHeight="1" spans="1:5">
      <c r="A1099" s="5" t="str">
        <f>"头皮缺损修复术"</f>
        <v>头皮缺损修复术</v>
      </c>
      <c r="B1099" s="3">
        <v>331602010</v>
      </c>
      <c r="C1099" s="4">
        <v>756</v>
      </c>
      <c r="D1099" s="3" t="str">
        <f t="shared" si="215"/>
        <v>次</v>
      </c>
      <c r="E1099" s="3" t="str">
        <f t="shared" si="214"/>
        <v>手术费</v>
      </c>
    </row>
    <row r="1100" customHeight="1" spans="1:5">
      <c r="A1100" s="5" t="str">
        <f>"腋臭切除术"</f>
        <v>腋臭切除术</v>
      </c>
      <c r="B1100" s="3">
        <v>331602011</v>
      </c>
      <c r="C1100" s="4">
        <v>284</v>
      </c>
      <c r="D1100" s="3" t="str">
        <f>"单侧"</f>
        <v>单侧</v>
      </c>
      <c r="E1100" s="3" t="str">
        <f t="shared" si="214"/>
        <v>手术费</v>
      </c>
    </row>
    <row r="1101" customHeight="1" spans="1:5">
      <c r="A1101" s="5" t="str">
        <f>"切开排毒"</f>
        <v>切开排毒</v>
      </c>
      <c r="B1101" s="3">
        <v>331602015</v>
      </c>
      <c r="C1101" s="4">
        <v>81</v>
      </c>
      <c r="D1101" s="3" t="str">
        <f t="shared" ref="D1101:D1108" si="216">"次"</f>
        <v>次</v>
      </c>
      <c r="E1101" s="3" t="str">
        <f t="shared" si="214"/>
        <v>手术费</v>
      </c>
    </row>
    <row r="1102" customHeight="1" spans="1:5">
      <c r="A1102" s="5" t="str">
        <f>"烧伤焦痂切开减张术"</f>
        <v>烧伤焦痂切开减张术</v>
      </c>
      <c r="B1102" s="3">
        <v>331603001</v>
      </c>
      <c r="C1102" s="4">
        <v>324</v>
      </c>
      <c r="D1102" s="3" t="str">
        <f>"每个部位"</f>
        <v>每个部位</v>
      </c>
      <c r="E1102" s="3" t="str">
        <f t="shared" si="214"/>
        <v>手术费</v>
      </c>
    </row>
    <row r="1103" customHeight="1" spans="1:5">
      <c r="A1103" s="5" t="str">
        <f>"烧伤扩创术"</f>
        <v>烧伤扩创术</v>
      </c>
      <c r="B1103" s="3">
        <v>331603002</v>
      </c>
      <c r="C1103" s="4">
        <v>324</v>
      </c>
      <c r="D1103" s="3" t="str">
        <f>"每个部位"</f>
        <v>每个部位</v>
      </c>
      <c r="E1103" s="3" t="str">
        <f t="shared" si="214"/>
        <v>手术费</v>
      </c>
    </row>
    <row r="1104" customHeight="1" spans="1:5">
      <c r="A1104" s="5" t="str">
        <f>"切（削）痂术"</f>
        <v>切（削）痂术</v>
      </c>
      <c r="B1104" s="3">
        <v>331603009</v>
      </c>
      <c r="C1104" s="4">
        <v>195</v>
      </c>
      <c r="D1104" s="3" t="str">
        <f t="shared" si="216"/>
        <v>次</v>
      </c>
      <c r="E1104" s="3" t="str">
        <f t="shared" si="214"/>
        <v>手术费</v>
      </c>
    </row>
    <row r="1105" customHeight="1" spans="1:5">
      <c r="A1105" s="5" t="str">
        <f>"削痂术"</f>
        <v>削痂术</v>
      </c>
      <c r="B1105" s="3">
        <v>331603010</v>
      </c>
      <c r="C1105" s="4">
        <v>195</v>
      </c>
      <c r="D1105" s="3" t="str">
        <f t="shared" si="216"/>
        <v>次</v>
      </c>
      <c r="E1105" s="3" t="str">
        <f t="shared" si="214"/>
        <v>手术费</v>
      </c>
    </row>
    <row r="1106" customHeight="1" spans="1:5">
      <c r="A1106" s="5" t="str">
        <f>"取皮术"</f>
        <v>取皮术</v>
      </c>
      <c r="B1106" s="3">
        <v>331603011</v>
      </c>
      <c r="C1106" s="4">
        <v>195</v>
      </c>
      <c r="D1106" s="3" t="str">
        <f t="shared" si="216"/>
        <v>次</v>
      </c>
      <c r="E1106" s="3" t="str">
        <f t="shared" si="214"/>
        <v>手术费</v>
      </c>
    </row>
    <row r="1107" customHeight="1" spans="1:5">
      <c r="A1107" s="5" t="str">
        <f>"头皮取皮术"</f>
        <v>头皮取皮术</v>
      </c>
      <c r="B1107" s="3">
        <v>331603012</v>
      </c>
      <c r="C1107" s="4">
        <v>284</v>
      </c>
      <c r="D1107" s="3" t="str">
        <f t="shared" si="216"/>
        <v>次</v>
      </c>
      <c r="E1107" s="3" t="str">
        <f t="shared" si="214"/>
        <v>手术费</v>
      </c>
    </row>
    <row r="1108" customHeight="1" spans="1:5">
      <c r="A1108" s="5" t="str">
        <f>"自体皮移植术"</f>
        <v>自体皮移植术</v>
      </c>
      <c r="B1108" s="3">
        <v>331603026</v>
      </c>
      <c r="C1108" s="4">
        <v>284</v>
      </c>
      <c r="D1108" s="3" t="str">
        <f t="shared" si="216"/>
        <v>次</v>
      </c>
      <c r="E1108" s="3" t="str">
        <f t="shared" si="214"/>
        <v>手术费</v>
      </c>
    </row>
    <row r="1109" customHeight="1" spans="1:5">
      <c r="A1109" s="5" t="str">
        <f>"慢性溃疡修复术"</f>
        <v>慢性溃疡修复术</v>
      </c>
      <c r="B1109" s="3">
        <v>331604002</v>
      </c>
      <c r="C1109" s="4">
        <v>864</v>
      </c>
      <c r="D1109" s="3" t="str">
        <f>"每个部位"</f>
        <v>每个部位</v>
      </c>
      <c r="E1109" s="3" t="str">
        <f t="shared" si="214"/>
        <v>手术费</v>
      </c>
    </row>
    <row r="1110" customHeight="1" spans="1:5">
      <c r="A1110" s="5" t="str">
        <f>"面部外伤清创整形术"</f>
        <v>面部外伤清创整形术</v>
      </c>
      <c r="B1110" s="3">
        <v>331604016</v>
      </c>
      <c r="C1110" s="4">
        <v>486</v>
      </c>
      <c r="D1110" s="3" t="str">
        <f t="shared" ref="D1110:D1118" si="217">"次"</f>
        <v>次</v>
      </c>
      <c r="E1110" s="3" t="str">
        <f t="shared" si="214"/>
        <v>手术费</v>
      </c>
    </row>
    <row r="1111" customHeight="1" spans="1:5">
      <c r="A1111" s="5" t="str">
        <f>"指甲成形术"</f>
        <v>指甲成形术</v>
      </c>
      <c r="B1111" s="3">
        <v>331604018</v>
      </c>
      <c r="C1111" s="4">
        <v>378</v>
      </c>
      <c r="D1111" s="3" t="str">
        <f>"每指"</f>
        <v>每指</v>
      </c>
      <c r="E1111" s="3" t="str">
        <f t="shared" si="214"/>
        <v>手术费</v>
      </c>
    </row>
    <row r="1112" customHeight="1" spans="1:5">
      <c r="A1112" s="5" t="str">
        <f>"疤痕松解术"</f>
        <v>疤痕松解术</v>
      </c>
      <c r="B1112" s="3">
        <v>331604035</v>
      </c>
      <c r="C1112" s="4">
        <v>324</v>
      </c>
      <c r="D1112" s="3" t="str">
        <f t="shared" si="217"/>
        <v>次</v>
      </c>
      <c r="E1112" s="3" t="str">
        <f t="shared" si="214"/>
        <v>手术费</v>
      </c>
    </row>
    <row r="1113" customHeight="1" spans="1:5">
      <c r="A1113" s="5" t="str">
        <f>"红外线治疗"</f>
        <v>红外线治疗</v>
      </c>
      <c r="B1113" s="3">
        <v>340100001</v>
      </c>
      <c r="C1113" s="4">
        <v>5</v>
      </c>
      <c r="D1113" s="3" t="str">
        <f t="shared" si="217"/>
        <v>次</v>
      </c>
      <c r="E1113" s="3" t="str">
        <f t="shared" ref="E1113:E1130" si="218">"治疗费"</f>
        <v>治疗费</v>
      </c>
    </row>
    <row r="1114" customHeight="1" spans="1:5">
      <c r="A1114" s="5" t="str">
        <f>"可见光治疗"</f>
        <v>可见光治疗</v>
      </c>
      <c r="B1114" s="3">
        <v>340100002</v>
      </c>
      <c r="C1114" s="4">
        <v>5</v>
      </c>
      <c r="D1114" s="3" t="str">
        <f t="shared" si="217"/>
        <v>次</v>
      </c>
      <c r="E1114" s="3" t="str">
        <f t="shared" si="218"/>
        <v>治疗费</v>
      </c>
    </row>
    <row r="1115" customHeight="1" spans="1:5">
      <c r="A1115" s="5" t="str">
        <f>"偏振光照射"</f>
        <v>偏振光照射</v>
      </c>
      <c r="B1115" s="3">
        <v>340100003</v>
      </c>
      <c r="C1115" s="4">
        <v>8</v>
      </c>
      <c r="D1115" s="3" t="str">
        <f t="shared" si="217"/>
        <v>次</v>
      </c>
      <c r="E1115" s="3" t="str">
        <f t="shared" si="218"/>
        <v>治疗费</v>
      </c>
    </row>
    <row r="1116" customHeight="1" spans="1:5">
      <c r="A1116" s="5" t="str">
        <f>"紫外线治疗"</f>
        <v>紫外线治疗</v>
      </c>
      <c r="B1116" s="3">
        <v>340100004</v>
      </c>
      <c r="C1116" s="4">
        <v>8</v>
      </c>
      <c r="D1116" s="3" t="str">
        <f t="shared" si="217"/>
        <v>次</v>
      </c>
      <c r="E1116" s="3" t="str">
        <f t="shared" si="218"/>
        <v>治疗费</v>
      </c>
    </row>
    <row r="1117" customHeight="1" spans="1:5">
      <c r="A1117" s="5" t="str">
        <f>"激光疗法"</f>
        <v>激光疗法</v>
      </c>
      <c r="B1117" s="3">
        <v>340100005</v>
      </c>
      <c r="C1117" s="4">
        <v>10</v>
      </c>
      <c r="D1117" s="3" t="str">
        <f t="shared" si="217"/>
        <v>次</v>
      </c>
      <c r="E1117" s="3" t="str">
        <f t="shared" si="218"/>
        <v>治疗费</v>
      </c>
    </row>
    <row r="1118" customHeight="1" spans="1:5">
      <c r="A1118" s="5" t="str">
        <f>"光敏疗法"</f>
        <v>光敏疗法</v>
      </c>
      <c r="B1118" s="3">
        <v>340100006</v>
      </c>
      <c r="C1118" s="4">
        <v>10</v>
      </c>
      <c r="D1118" s="3" t="str">
        <f t="shared" si="217"/>
        <v>次</v>
      </c>
      <c r="E1118" s="3" t="str">
        <f t="shared" si="218"/>
        <v>治疗费</v>
      </c>
    </row>
    <row r="1119" customHeight="1" spans="1:5">
      <c r="A1119" s="5" t="str">
        <f>"电诊断"</f>
        <v>电诊断</v>
      </c>
      <c r="B1119" s="3">
        <v>340100007</v>
      </c>
      <c r="C1119" s="4">
        <v>15</v>
      </c>
      <c r="D1119" s="3" t="str">
        <f>"根"</f>
        <v>根</v>
      </c>
      <c r="E1119" s="3" t="str">
        <f t="shared" si="218"/>
        <v>治疗费</v>
      </c>
    </row>
    <row r="1120" customHeight="1" spans="1:5">
      <c r="A1120" s="5" t="str">
        <f>"直流电治疗"</f>
        <v>直流电治疗</v>
      </c>
      <c r="B1120" s="3">
        <v>340100008</v>
      </c>
      <c r="C1120" s="4">
        <v>8</v>
      </c>
      <c r="D1120" s="3" t="str">
        <f>"每部位"</f>
        <v>每部位</v>
      </c>
      <c r="E1120" s="3" t="str">
        <f t="shared" si="218"/>
        <v>治疗费</v>
      </c>
    </row>
    <row r="1121" customHeight="1" spans="1:5">
      <c r="A1121" s="5" t="str">
        <f>"低频脉冲功能性电刺激治疗"</f>
        <v>低频脉冲功能性电刺激治疗</v>
      </c>
      <c r="B1121" s="3">
        <v>340100009</v>
      </c>
      <c r="C1121" s="4">
        <v>8</v>
      </c>
      <c r="D1121" s="3" t="str">
        <f>"每部位"</f>
        <v>每部位</v>
      </c>
      <c r="E1121" s="3" t="str">
        <f t="shared" si="218"/>
        <v>治疗费</v>
      </c>
    </row>
    <row r="1122" customHeight="1" spans="1:5">
      <c r="A1122" s="5" t="str">
        <f>"低周波治疗"</f>
        <v>低周波治疗</v>
      </c>
      <c r="B1122" s="3" t="str">
        <f>"340100009-a"</f>
        <v>340100009-a</v>
      </c>
      <c r="C1122" s="4">
        <v>11</v>
      </c>
      <c r="D1122" s="3" t="str">
        <f t="shared" ref="D1122:D1127" si="219">"次"</f>
        <v>次</v>
      </c>
      <c r="E1122" s="3" t="str">
        <f t="shared" si="218"/>
        <v>治疗费</v>
      </c>
    </row>
    <row r="1123" customHeight="1" spans="1:5">
      <c r="A1123" s="5" t="str">
        <f>"中频脉冲电治疗"</f>
        <v>中频脉冲电治疗</v>
      </c>
      <c r="B1123" s="3">
        <v>340100010</v>
      </c>
      <c r="C1123" s="4">
        <v>8</v>
      </c>
      <c r="D1123" s="3" t="str">
        <f>"部位"</f>
        <v>部位</v>
      </c>
      <c r="E1123" s="3" t="str">
        <f t="shared" si="218"/>
        <v>治疗费</v>
      </c>
    </row>
    <row r="1124" customHeight="1" spans="1:5">
      <c r="A1124" s="5" t="str">
        <f>"共鸣火花治疗"</f>
        <v>共鸣火花治疗</v>
      </c>
      <c r="B1124" s="3">
        <v>340100011</v>
      </c>
      <c r="C1124" s="4">
        <v>5</v>
      </c>
      <c r="D1124" s="3" t="str">
        <f t="shared" si="219"/>
        <v>次</v>
      </c>
      <c r="E1124" s="3" t="str">
        <f t="shared" si="218"/>
        <v>治疗费</v>
      </c>
    </row>
    <row r="1125" customHeight="1" spans="1:5">
      <c r="A1125" s="5" t="str">
        <f>"超短波治疗"</f>
        <v>超短波治疗</v>
      </c>
      <c r="B1125" s="3">
        <v>340100012</v>
      </c>
      <c r="C1125" s="4">
        <v>8</v>
      </c>
      <c r="D1125" s="3" t="str">
        <f>"部位"</f>
        <v>部位</v>
      </c>
      <c r="E1125" s="3" t="str">
        <f t="shared" si="218"/>
        <v>治疗费</v>
      </c>
    </row>
    <row r="1126" customHeight="1" spans="1:5">
      <c r="A1126" s="5" t="str">
        <f>"微波治疗"</f>
        <v>微波治疗</v>
      </c>
      <c r="B1126" s="3">
        <v>340100013</v>
      </c>
      <c r="C1126" s="4">
        <v>10</v>
      </c>
      <c r="D1126" s="3" t="str">
        <f>"每部位"</f>
        <v>每部位</v>
      </c>
      <c r="E1126" s="3" t="str">
        <f t="shared" si="218"/>
        <v>治疗费</v>
      </c>
    </row>
    <row r="1127" customHeight="1" spans="1:5">
      <c r="A1127" s="5" t="str">
        <f>"射频电疗"</f>
        <v>射频电疗</v>
      </c>
      <c r="B1127" s="3">
        <v>340100014</v>
      </c>
      <c r="C1127" s="4">
        <v>30</v>
      </c>
      <c r="D1127" s="3" t="str">
        <f t="shared" si="219"/>
        <v>次</v>
      </c>
      <c r="E1127" s="3" t="str">
        <f t="shared" si="218"/>
        <v>治疗费</v>
      </c>
    </row>
    <row r="1128" customHeight="1" spans="1:5">
      <c r="A1128" s="5" t="str">
        <f>"静电治疗"</f>
        <v>静电治疗</v>
      </c>
      <c r="B1128" s="3">
        <v>340100015</v>
      </c>
      <c r="C1128" s="4">
        <v>20</v>
      </c>
      <c r="D1128" s="3" t="str">
        <f>"半小时"</f>
        <v>半小时</v>
      </c>
      <c r="E1128" s="3" t="str">
        <f t="shared" si="218"/>
        <v>治疗费</v>
      </c>
    </row>
    <row r="1129" customHeight="1" spans="1:5">
      <c r="A1129" s="5" t="str">
        <f>"空气负离子治疗"</f>
        <v>空气负离子治疗</v>
      </c>
      <c r="B1129" s="3">
        <v>340100016</v>
      </c>
      <c r="C1129" s="4">
        <v>3</v>
      </c>
      <c r="D1129" s="3" t="str">
        <f t="shared" ref="D1129:D1133" si="220">"次"</f>
        <v>次</v>
      </c>
      <c r="E1129" s="3" t="str">
        <f t="shared" si="218"/>
        <v>治疗费</v>
      </c>
    </row>
    <row r="1130" customHeight="1" spans="1:5">
      <c r="A1130" s="5" t="str">
        <f>"超声波治疗"</f>
        <v>超声波治疗</v>
      </c>
      <c r="B1130" s="3">
        <v>340100017</v>
      </c>
      <c r="C1130" s="4">
        <v>10</v>
      </c>
      <c r="D1130" s="3" t="str">
        <f t="shared" si="220"/>
        <v>次</v>
      </c>
      <c r="E1130" s="3" t="str">
        <f t="shared" si="218"/>
        <v>治疗费</v>
      </c>
    </row>
    <row r="1131" customHeight="1" spans="1:5">
      <c r="A1131" s="5" t="str">
        <f>"超声雾化治疗"</f>
        <v>超声雾化治疗</v>
      </c>
      <c r="B1131" s="3" t="str">
        <f>"340100017-1"</f>
        <v>340100017-1</v>
      </c>
      <c r="C1131" s="4">
        <v>10</v>
      </c>
      <c r="D1131" s="3" t="str">
        <f>"每5分钟"</f>
        <v>每5分钟</v>
      </c>
      <c r="E1131" s="3" t="str">
        <f>"治疗费(含材料费)"</f>
        <v>治疗费(含材料费)</v>
      </c>
    </row>
    <row r="1132" customHeight="1" spans="1:5">
      <c r="A1132" s="5" t="str">
        <f>"电子生物反馈疗法"</f>
        <v>电子生物反馈疗法</v>
      </c>
      <c r="B1132" s="3">
        <v>340100018</v>
      </c>
      <c r="C1132" s="4">
        <v>20</v>
      </c>
      <c r="D1132" s="3" t="str">
        <f t="shared" si="220"/>
        <v>次</v>
      </c>
      <c r="E1132" s="3" t="str">
        <f t="shared" ref="E1132:E1141" si="221">"治疗费"</f>
        <v>治疗费</v>
      </c>
    </row>
    <row r="1133" customHeight="1" spans="1:5">
      <c r="A1133" s="5" t="str">
        <f>"磁疗"</f>
        <v>磁疗</v>
      </c>
      <c r="B1133" s="3">
        <v>340100019</v>
      </c>
      <c r="C1133" s="4">
        <v>8</v>
      </c>
      <c r="D1133" s="3" t="str">
        <f t="shared" si="220"/>
        <v>次</v>
      </c>
      <c r="E1133" s="3" t="str">
        <f t="shared" si="221"/>
        <v>治疗费</v>
      </c>
    </row>
    <row r="1134" customHeight="1" spans="1:5">
      <c r="A1134" s="5" t="str">
        <f>"气泡浴治疗"</f>
        <v>气泡浴治疗</v>
      </c>
      <c r="B1134" s="3">
        <v>340100020</v>
      </c>
      <c r="C1134" s="4">
        <v>15</v>
      </c>
      <c r="D1134" s="3" t="str">
        <f>"每20分钟"</f>
        <v>每20分钟</v>
      </c>
      <c r="E1134" s="3" t="str">
        <f t="shared" si="221"/>
        <v>治疗费</v>
      </c>
    </row>
    <row r="1135" customHeight="1" spans="1:5">
      <c r="A1135" s="5" t="str">
        <f>"蜡疗"</f>
        <v>蜡疗</v>
      </c>
      <c r="B1135" s="3">
        <v>340100021</v>
      </c>
      <c r="C1135" s="4">
        <v>5</v>
      </c>
      <c r="D1135" s="3" t="str">
        <f t="shared" ref="D1135:D1138" si="222">"每部位"</f>
        <v>每部位</v>
      </c>
      <c r="E1135" s="3" t="str">
        <f t="shared" si="221"/>
        <v>治疗费</v>
      </c>
    </row>
    <row r="1136" customHeight="1" spans="1:5">
      <c r="A1136" s="5" t="str">
        <f>"牵引"</f>
        <v>牵引</v>
      </c>
      <c r="B1136" s="3">
        <v>340100023</v>
      </c>
      <c r="C1136" s="4">
        <v>25</v>
      </c>
      <c r="D1136" s="3" t="str">
        <f t="shared" ref="D1136:D1141" si="223">"次"</f>
        <v>次</v>
      </c>
      <c r="E1136" s="3" t="str">
        <f t="shared" si="221"/>
        <v>治疗费</v>
      </c>
    </row>
    <row r="1137" customHeight="1" spans="1:5">
      <c r="A1137" s="5" t="str">
        <f>"气压治疗"</f>
        <v>气压治疗</v>
      </c>
      <c r="B1137" s="3">
        <v>340100024</v>
      </c>
      <c r="C1137" s="4">
        <v>8</v>
      </c>
      <c r="D1137" s="3" t="str">
        <f t="shared" si="222"/>
        <v>每部位</v>
      </c>
      <c r="E1137" s="3" t="str">
        <f t="shared" si="221"/>
        <v>治疗费</v>
      </c>
    </row>
    <row r="1138" customHeight="1" spans="1:5">
      <c r="A1138" s="5" t="str">
        <f>"冷疗"</f>
        <v>冷疗</v>
      </c>
      <c r="B1138" s="3">
        <v>340100025</v>
      </c>
      <c r="C1138" s="4">
        <v>5</v>
      </c>
      <c r="D1138" s="3" t="str">
        <f t="shared" si="222"/>
        <v>每部位</v>
      </c>
      <c r="E1138" s="3" t="str">
        <f t="shared" si="221"/>
        <v>治疗费</v>
      </c>
    </row>
    <row r="1139" customHeight="1" spans="1:5">
      <c r="A1139" s="5" t="str">
        <f>"电按摩"</f>
        <v>电按摩</v>
      </c>
      <c r="B1139" s="3">
        <v>340100026</v>
      </c>
      <c r="C1139" s="4">
        <v>8</v>
      </c>
      <c r="D1139" s="3" t="str">
        <f t="shared" si="223"/>
        <v>次</v>
      </c>
      <c r="E1139" s="3" t="str">
        <f t="shared" si="221"/>
        <v>治疗费</v>
      </c>
    </row>
    <row r="1140" customHeight="1" spans="1:5">
      <c r="A1140" s="5" t="str">
        <f>"场效应治疗"</f>
        <v>场效应治疗</v>
      </c>
      <c r="B1140" s="3">
        <v>340100027</v>
      </c>
      <c r="C1140" s="4">
        <v>5</v>
      </c>
      <c r="D1140" s="3" t="str">
        <f>"每部位"</f>
        <v>每部位</v>
      </c>
      <c r="E1140" s="3" t="str">
        <f t="shared" si="221"/>
        <v>治疗费</v>
      </c>
    </row>
    <row r="1141" customHeight="1" spans="1:5">
      <c r="A1141" s="5" t="str">
        <f>"多频振动治疗"</f>
        <v>多频振动治疗</v>
      </c>
      <c r="B1141" s="3">
        <v>340100028</v>
      </c>
      <c r="C1141" s="4">
        <v>40</v>
      </c>
      <c r="D1141" s="3" t="str">
        <f t="shared" si="223"/>
        <v>次</v>
      </c>
      <c r="E1141" s="3" t="str">
        <f t="shared" si="221"/>
        <v>治疗费</v>
      </c>
    </row>
    <row r="1142" customHeight="1" spans="1:5">
      <c r="A1142" s="5" t="str">
        <f>"智力测试DDST"</f>
        <v>智力测试DDST</v>
      </c>
      <c r="B1142" s="3" t="str">
        <f>"3402-b"</f>
        <v>3402-b</v>
      </c>
      <c r="C1142" s="4">
        <v>39</v>
      </c>
      <c r="D1142" s="3" t="str">
        <f>"项"</f>
        <v>项</v>
      </c>
      <c r="E1142" s="3" t="str">
        <f t="shared" ref="E1142:E1148" si="224">"检查费"</f>
        <v>检查费</v>
      </c>
    </row>
    <row r="1143" customHeight="1" spans="1:5">
      <c r="A1143" s="5" t="str">
        <f>"徒手平衡功能检查"</f>
        <v>徒手平衡功能检查</v>
      </c>
      <c r="B1143" s="3">
        <v>340200001</v>
      </c>
      <c r="C1143" s="4">
        <v>13</v>
      </c>
      <c r="D1143" s="3" t="str">
        <f t="shared" ref="D1143:D1147" si="225">"次"</f>
        <v>次</v>
      </c>
      <c r="E1143" s="3" t="str">
        <f t="shared" si="224"/>
        <v>检查费</v>
      </c>
    </row>
    <row r="1144" customHeight="1" spans="1:5">
      <c r="A1144" s="5" t="str">
        <f>"仪器平衡功能评定"</f>
        <v>仪器平衡功能评定</v>
      </c>
      <c r="B1144" s="3">
        <v>340200002</v>
      </c>
      <c r="C1144" s="4">
        <v>39</v>
      </c>
      <c r="D1144" s="3" t="str">
        <f t="shared" si="225"/>
        <v>次</v>
      </c>
      <c r="E1144" s="3" t="str">
        <f t="shared" ref="E1144:E1149" si="226">"治疗费"</f>
        <v>治疗费</v>
      </c>
    </row>
    <row r="1145" customHeight="1" spans="1:5">
      <c r="A1145" s="5" t="str">
        <f>"日常生活能力评定"</f>
        <v>日常生活能力评定</v>
      </c>
      <c r="B1145" s="3">
        <v>340200003</v>
      </c>
      <c r="C1145" s="4">
        <v>13</v>
      </c>
      <c r="D1145" s="3" t="str">
        <f t="shared" si="225"/>
        <v>次</v>
      </c>
      <c r="E1145" s="3" t="str">
        <f t="shared" si="226"/>
        <v>治疗费</v>
      </c>
    </row>
    <row r="1146" customHeight="1" spans="1:5">
      <c r="A1146" s="5" t="str">
        <f>"等速肌力测定"</f>
        <v>等速肌力测定</v>
      </c>
      <c r="B1146" s="3">
        <v>340200004</v>
      </c>
      <c r="C1146" s="4">
        <v>26</v>
      </c>
      <c r="D1146" s="3" t="str">
        <f t="shared" si="225"/>
        <v>次</v>
      </c>
      <c r="E1146" s="3" t="str">
        <f t="shared" si="224"/>
        <v>检查费</v>
      </c>
    </row>
    <row r="1147" customHeight="1" spans="1:5">
      <c r="A1147" s="5" t="str">
        <f>"手功能评定"</f>
        <v>手功能评定</v>
      </c>
      <c r="B1147" s="3">
        <v>340200005</v>
      </c>
      <c r="C1147" s="4">
        <v>13</v>
      </c>
      <c r="D1147" s="3" t="str">
        <f t="shared" si="225"/>
        <v>次</v>
      </c>
      <c r="E1147" s="3" t="str">
        <f t="shared" si="224"/>
        <v>检查费</v>
      </c>
    </row>
    <row r="1148" customHeight="1" spans="1:5">
      <c r="A1148" s="5" t="str">
        <f>"疲劳度测定"</f>
        <v>疲劳度测定</v>
      </c>
      <c r="B1148" s="3">
        <v>340200006</v>
      </c>
      <c r="C1148" s="4">
        <v>13</v>
      </c>
      <c r="D1148" s="3">
        <v>1</v>
      </c>
      <c r="E1148" s="3" t="str">
        <f t="shared" si="224"/>
        <v>检查费</v>
      </c>
    </row>
    <row r="1149" customHeight="1" spans="1:5">
      <c r="A1149" s="5" t="str">
        <f>"步态分析检查"</f>
        <v>步态分析检查</v>
      </c>
      <c r="B1149" s="3">
        <v>340200007</v>
      </c>
      <c r="C1149" s="4">
        <v>13</v>
      </c>
      <c r="D1149" s="3" t="str">
        <f t="shared" ref="D1149:D1159" si="227">"次"</f>
        <v>次</v>
      </c>
      <c r="E1149" s="3" t="str">
        <f t="shared" si="226"/>
        <v>治疗费</v>
      </c>
    </row>
    <row r="1150" customHeight="1" spans="1:5">
      <c r="A1150" s="5" t="str">
        <f>"言语能力评定"</f>
        <v>言语能力评定</v>
      </c>
      <c r="B1150" s="3">
        <v>340200008</v>
      </c>
      <c r="C1150" s="4">
        <v>13</v>
      </c>
      <c r="D1150" s="3" t="str">
        <f t="shared" si="227"/>
        <v>次</v>
      </c>
      <c r="E1150" s="3" t="str">
        <f t="shared" ref="E1150:E1155" si="228">"检查费"</f>
        <v>检查费</v>
      </c>
    </row>
    <row r="1151" customHeight="1" spans="1:5">
      <c r="A1151" s="5" t="str">
        <f>"口吃检查"</f>
        <v>口吃检查</v>
      </c>
      <c r="B1151" s="3">
        <v>340200010</v>
      </c>
      <c r="C1151" s="4">
        <v>13</v>
      </c>
      <c r="D1151" s="3" t="str">
        <f t="shared" si="227"/>
        <v>次</v>
      </c>
      <c r="E1151" s="3" t="str">
        <f t="shared" si="228"/>
        <v>检查费</v>
      </c>
    </row>
    <row r="1152" customHeight="1" spans="1:5">
      <c r="A1152" s="5" t="str">
        <f>"吞咽功能障碍评定"</f>
        <v>吞咽功能障碍评定</v>
      </c>
      <c r="B1152" s="3">
        <v>340200011</v>
      </c>
      <c r="C1152" s="4">
        <v>26</v>
      </c>
      <c r="D1152" s="3" t="str">
        <f t="shared" si="227"/>
        <v>次</v>
      </c>
      <c r="E1152" s="3" t="str">
        <f>"治疗费"</f>
        <v>治疗费</v>
      </c>
    </row>
    <row r="1153" customHeight="1" spans="1:5">
      <c r="A1153" s="5" t="str">
        <f>"认知知觉功能检查"</f>
        <v>认知知觉功能检查</v>
      </c>
      <c r="B1153" s="3">
        <v>340200012</v>
      </c>
      <c r="C1153" s="4">
        <v>13</v>
      </c>
      <c r="D1153" s="3" t="str">
        <f t="shared" si="227"/>
        <v>次</v>
      </c>
      <c r="E1153" s="3" t="str">
        <f t="shared" si="228"/>
        <v>检查费</v>
      </c>
    </row>
    <row r="1154" customHeight="1" spans="1:5">
      <c r="A1154" s="5" t="str">
        <f>"记忆力评定"</f>
        <v>记忆力评定</v>
      </c>
      <c r="B1154" s="3">
        <v>340200013</v>
      </c>
      <c r="C1154" s="4">
        <v>13</v>
      </c>
      <c r="D1154" s="3" t="str">
        <f t="shared" si="227"/>
        <v>次</v>
      </c>
      <c r="E1154" s="3" t="str">
        <f t="shared" si="228"/>
        <v>检查费</v>
      </c>
    </row>
    <row r="1155" customHeight="1" spans="1:5">
      <c r="A1155" s="5" t="str">
        <f>"失认失用评定"</f>
        <v>失认失用评定</v>
      </c>
      <c r="B1155" s="3">
        <v>340200014</v>
      </c>
      <c r="C1155" s="4">
        <v>13</v>
      </c>
      <c r="D1155" s="3" t="str">
        <f t="shared" si="227"/>
        <v>次</v>
      </c>
      <c r="E1155" s="3" t="str">
        <f t="shared" si="228"/>
        <v>检查费</v>
      </c>
    </row>
    <row r="1156" customHeight="1" spans="1:5">
      <c r="A1156" s="5" t="str">
        <f>"职业能力评定"</f>
        <v>职业能力评定</v>
      </c>
      <c r="B1156" s="3">
        <v>340200015</v>
      </c>
      <c r="C1156" s="4">
        <v>13</v>
      </c>
      <c r="D1156" s="3" t="str">
        <f t="shared" si="227"/>
        <v>次</v>
      </c>
      <c r="E1156" s="3" t="str">
        <f t="shared" ref="E1156:E1183" si="229">"治疗费"</f>
        <v>治疗费</v>
      </c>
    </row>
    <row r="1157" customHeight="1" spans="1:5">
      <c r="A1157" s="5" t="str">
        <f>"记忆广度检查"</f>
        <v>记忆广度检查</v>
      </c>
      <c r="B1157" s="3">
        <v>340200016</v>
      </c>
      <c r="C1157" s="4">
        <v>13</v>
      </c>
      <c r="D1157" s="3" t="str">
        <f t="shared" si="227"/>
        <v>次</v>
      </c>
      <c r="E1157" s="3" t="str">
        <f>"检查费"</f>
        <v>检查费</v>
      </c>
    </row>
    <row r="1158" customHeight="1" spans="1:5">
      <c r="A1158" s="5" t="str">
        <f>"心功能康复评定"</f>
        <v>心功能康复评定</v>
      </c>
      <c r="B1158" s="3">
        <v>340200017</v>
      </c>
      <c r="C1158" s="4">
        <v>52</v>
      </c>
      <c r="D1158" s="3" t="str">
        <f t="shared" si="227"/>
        <v>次</v>
      </c>
      <c r="E1158" s="3" t="str">
        <f>"检查费"</f>
        <v>检查费</v>
      </c>
    </row>
    <row r="1159" customHeight="1" spans="1:5">
      <c r="A1159" s="5" t="str">
        <f>"人体残伤测定"</f>
        <v>人体残伤测定</v>
      </c>
      <c r="B1159" s="3">
        <v>340200019</v>
      </c>
      <c r="C1159" s="4">
        <v>13</v>
      </c>
      <c r="D1159" s="3" t="str">
        <f t="shared" si="227"/>
        <v>次</v>
      </c>
      <c r="E1159" s="3" t="str">
        <f t="shared" si="229"/>
        <v>治疗费</v>
      </c>
    </row>
    <row r="1160" customHeight="1" spans="1:5">
      <c r="A1160" s="5" t="str">
        <f>"器械训练"</f>
        <v>器械训练</v>
      </c>
      <c r="B1160" s="3" t="str">
        <f>"340200020-1"</f>
        <v>340200020-1</v>
      </c>
      <c r="C1160" s="4">
        <v>13</v>
      </c>
      <c r="D1160" s="3">
        <v>1</v>
      </c>
      <c r="E1160" s="3" t="str">
        <f t="shared" si="229"/>
        <v>治疗费</v>
      </c>
    </row>
    <row r="1161" customHeight="1" spans="1:5">
      <c r="A1161" s="5" t="str">
        <f>"步态平衡功能训练"</f>
        <v>步态平衡功能训练</v>
      </c>
      <c r="B1161" s="3" t="str">
        <f>"340200020-2"</f>
        <v>340200020-2</v>
      </c>
      <c r="C1161" s="4">
        <v>13</v>
      </c>
      <c r="D1161" s="3" t="str">
        <f t="shared" ref="D1161:D1187" si="230">"次"</f>
        <v>次</v>
      </c>
      <c r="E1161" s="3" t="str">
        <f t="shared" si="229"/>
        <v>治疗费</v>
      </c>
    </row>
    <row r="1162" customHeight="1" spans="1:5">
      <c r="A1162" s="5" t="str">
        <f>"各关节活动度训练"</f>
        <v>各关节活动度训练</v>
      </c>
      <c r="B1162" s="3" t="str">
        <f>"340200020-3"</f>
        <v>340200020-3</v>
      </c>
      <c r="C1162" s="4">
        <v>13</v>
      </c>
      <c r="D1162" s="3" t="str">
        <f>"部位"</f>
        <v>部位</v>
      </c>
      <c r="E1162" s="3" t="str">
        <f t="shared" si="229"/>
        <v>治疗费</v>
      </c>
    </row>
    <row r="1163" customHeight="1" spans="1:5">
      <c r="A1163" s="5" t="str">
        <f>"全身肌力训练"</f>
        <v>全身肌力训练</v>
      </c>
      <c r="B1163" s="3" t="str">
        <f>"340200020-4"</f>
        <v>340200020-4</v>
      </c>
      <c r="C1163" s="4">
        <v>13</v>
      </c>
      <c r="D1163" s="3" t="str">
        <f t="shared" si="230"/>
        <v>次</v>
      </c>
      <c r="E1163" s="3" t="str">
        <f t="shared" si="229"/>
        <v>治疗费</v>
      </c>
    </row>
    <row r="1164" customHeight="1" spans="1:5">
      <c r="A1164" s="5" t="str">
        <f>"徒手体操"</f>
        <v>徒手体操</v>
      </c>
      <c r="B1164" s="3" t="str">
        <f>"340200020-6"</f>
        <v>340200020-6</v>
      </c>
      <c r="C1164" s="4">
        <v>13</v>
      </c>
      <c r="D1164" s="3" t="str">
        <f t="shared" si="230"/>
        <v>次</v>
      </c>
      <c r="E1164" s="3" t="str">
        <f t="shared" si="229"/>
        <v>治疗费</v>
      </c>
    </row>
    <row r="1165" customHeight="1" spans="1:5">
      <c r="A1165" s="5" t="str">
        <f>"仪器平衡功能训练"</f>
        <v>仪器平衡功能训练</v>
      </c>
      <c r="B1165" s="3" t="str">
        <f>"340200020-7"</f>
        <v>340200020-7</v>
      </c>
      <c r="C1165" s="4">
        <v>13</v>
      </c>
      <c r="D1165" s="3" t="str">
        <f t="shared" si="230"/>
        <v>次</v>
      </c>
      <c r="E1165" s="3" t="str">
        <f t="shared" si="229"/>
        <v>治疗费</v>
      </c>
    </row>
    <row r="1166" customHeight="1" spans="1:5">
      <c r="A1166" s="5" t="str">
        <f>"减重支持系统训练"</f>
        <v>减重支持系统训练</v>
      </c>
      <c r="B1166" s="3">
        <v>340200021</v>
      </c>
      <c r="C1166" s="4">
        <v>39</v>
      </c>
      <c r="D1166" s="3" t="str">
        <f t="shared" si="230"/>
        <v>次</v>
      </c>
      <c r="E1166" s="3" t="str">
        <f t="shared" si="229"/>
        <v>治疗费</v>
      </c>
    </row>
    <row r="1167" customHeight="1" spans="1:5">
      <c r="A1167" s="5" t="str">
        <f>"轮椅功能训练"</f>
        <v>轮椅功能训练</v>
      </c>
      <c r="B1167" s="3">
        <v>340200022</v>
      </c>
      <c r="C1167" s="4">
        <v>13</v>
      </c>
      <c r="D1167" s="3" t="str">
        <f t="shared" si="230"/>
        <v>次</v>
      </c>
      <c r="E1167" s="3" t="str">
        <f t="shared" si="229"/>
        <v>治疗费</v>
      </c>
    </row>
    <row r="1168" customHeight="1" spans="1:5">
      <c r="A1168" s="5" t="str">
        <f>"电动起立床训练"</f>
        <v>电动起立床训练</v>
      </c>
      <c r="B1168" s="3">
        <v>340200023</v>
      </c>
      <c r="C1168" s="4">
        <v>13</v>
      </c>
      <c r="D1168" s="3" t="str">
        <f t="shared" si="230"/>
        <v>次</v>
      </c>
      <c r="E1168" s="3" t="str">
        <f t="shared" si="229"/>
        <v>治疗费</v>
      </c>
    </row>
    <row r="1169" customHeight="1" spans="1:5">
      <c r="A1169" s="5" t="str">
        <f>"平衡功能训练"</f>
        <v>平衡功能训练</v>
      </c>
      <c r="B1169" s="3">
        <v>340200024</v>
      </c>
      <c r="C1169" s="4">
        <v>7.8</v>
      </c>
      <c r="D1169" s="3" t="str">
        <f t="shared" si="230"/>
        <v>次</v>
      </c>
      <c r="E1169" s="3" t="str">
        <f t="shared" si="229"/>
        <v>治疗费</v>
      </c>
    </row>
    <row r="1170" customHeight="1" spans="1:5">
      <c r="A1170" s="5" t="str">
        <f>"手功能训练"</f>
        <v>手功能训练</v>
      </c>
      <c r="B1170" s="3">
        <v>340200025</v>
      </c>
      <c r="C1170" s="4">
        <v>20</v>
      </c>
      <c r="D1170" s="3" t="str">
        <f t="shared" si="230"/>
        <v>次</v>
      </c>
      <c r="E1170" s="3" t="str">
        <f t="shared" si="229"/>
        <v>治疗费</v>
      </c>
    </row>
    <row r="1171" customHeight="1" spans="1:5">
      <c r="A1171" s="5" t="str">
        <f>"关节松动训练"</f>
        <v>关节松动训练</v>
      </c>
      <c r="B1171" s="3">
        <v>340200026</v>
      </c>
      <c r="C1171" s="4">
        <v>33</v>
      </c>
      <c r="D1171" s="3" t="str">
        <f t="shared" si="230"/>
        <v>次</v>
      </c>
      <c r="E1171" s="3" t="str">
        <f t="shared" si="229"/>
        <v>治疗费</v>
      </c>
    </row>
    <row r="1172" customHeight="1" spans="1:5">
      <c r="A1172" s="5" t="str">
        <f>"有氧训练"</f>
        <v>有氧训练</v>
      </c>
      <c r="B1172" s="3">
        <v>340200027</v>
      </c>
      <c r="C1172" s="4">
        <v>26</v>
      </c>
      <c r="D1172" s="3" t="str">
        <f t="shared" si="230"/>
        <v>次</v>
      </c>
      <c r="E1172" s="3" t="str">
        <f t="shared" si="229"/>
        <v>治疗费</v>
      </c>
    </row>
    <row r="1173" customHeight="1" spans="1:5">
      <c r="A1173" s="5" t="str">
        <f>"文体训练"</f>
        <v>文体训练</v>
      </c>
      <c r="B1173" s="3">
        <v>340200028</v>
      </c>
      <c r="C1173" s="4">
        <v>13</v>
      </c>
      <c r="D1173" s="3" t="str">
        <f t="shared" si="230"/>
        <v>次</v>
      </c>
      <c r="E1173" s="3" t="str">
        <f t="shared" si="229"/>
        <v>治疗费</v>
      </c>
    </row>
    <row r="1174" customHeight="1" spans="1:5">
      <c r="A1174" s="5" t="str">
        <f>"引导式教育训练"</f>
        <v>引导式教育训练</v>
      </c>
      <c r="B1174" s="3">
        <v>340200029</v>
      </c>
      <c r="C1174" s="4">
        <v>13</v>
      </c>
      <c r="D1174" s="3" t="str">
        <f t="shared" si="230"/>
        <v>次</v>
      </c>
      <c r="E1174" s="3" t="str">
        <f t="shared" si="229"/>
        <v>治疗费</v>
      </c>
    </row>
    <row r="1175" customHeight="1" spans="1:5">
      <c r="A1175" s="5" t="str">
        <f>"等速肌力训练"</f>
        <v>等速肌力训练</v>
      </c>
      <c r="B1175" s="3">
        <v>340200030</v>
      </c>
      <c r="C1175" s="4">
        <v>20</v>
      </c>
      <c r="D1175" s="3" t="str">
        <f t="shared" si="230"/>
        <v>次</v>
      </c>
      <c r="E1175" s="3" t="str">
        <f t="shared" si="229"/>
        <v>治疗费</v>
      </c>
    </row>
    <row r="1176" customHeight="1" spans="1:5">
      <c r="A1176" s="5" t="str">
        <f>"作业疗法"</f>
        <v>作业疗法</v>
      </c>
      <c r="B1176" s="3">
        <v>340200031</v>
      </c>
      <c r="C1176" s="4">
        <v>20</v>
      </c>
      <c r="D1176" s="3" t="str">
        <f t="shared" si="230"/>
        <v>次</v>
      </c>
      <c r="E1176" s="3" t="str">
        <f t="shared" si="229"/>
        <v>治疗费</v>
      </c>
    </row>
    <row r="1177" customHeight="1" spans="1:5">
      <c r="A1177" s="5" t="str">
        <f>"职业功能训练"</f>
        <v>职业功能训练</v>
      </c>
      <c r="B1177" s="3">
        <v>340200032</v>
      </c>
      <c r="C1177" s="4">
        <v>26</v>
      </c>
      <c r="D1177" s="3" t="str">
        <f t="shared" si="230"/>
        <v>次</v>
      </c>
      <c r="E1177" s="3" t="str">
        <f t="shared" si="229"/>
        <v>治疗费</v>
      </c>
    </row>
    <row r="1178" customHeight="1" spans="1:5">
      <c r="A1178" s="5" t="str">
        <f>"口吃训练"</f>
        <v>口吃训练</v>
      </c>
      <c r="B1178" s="3">
        <v>340200033</v>
      </c>
      <c r="C1178" s="4">
        <v>20</v>
      </c>
      <c r="D1178" s="3" t="str">
        <f t="shared" si="230"/>
        <v>次</v>
      </c>
      <c r="E1178" s="3" t="str">
        <f t="shared" si="229"/>
        <v>治疗费</v>
      </c>
    </row>
    <row r="1179" customHeight="1" spans="1:5">
      <c r="A1179" s="5" t="str">
        <f>"言语训练"</f>
        <v>言语训练</v>
      </c>
      <c r="B1179" s="3">
        <v>340200034</v>
      </c>
      <c r="C1179" s="4">
        <v>26</v>
      </c>
      <c r="D1179" s="3" t="str">
        <f t="shared" si="230"/>
        <v>次</v>
      </c>
      <c r="E1179" s="3" t="str">
        <f t="shared" si="229"/>
        <v>治疗费</v>
      </c>
    </row>
    <row r="1180" customHeight="1" spans="1:5">
      <c r="A1180" s="5" t="str">
        <f>"儿童听力障碍语言训练"</f>
        <v>儿童听力障碍语言训练</v>
      </c>
      <c r="B1180" s="3">
        <v>340200035</v>
      </c>
      <c r="C1180" s="4">
        <v>26</v>
      </c>
      <c r="D1180" s="3" t="str">
        <f t="shared" si="230"/>
        <v>次</v>
      </c>
      <c r="E1180" s="3" t="str">
        <f t="shared" si="229"/>
        <v>治疗费</v>
      </c>
    </row>
    <row r="1181" customHeight="1" spans="1:5">
      <c r="A1181" s="5" t="str">
        <f>"构音障碍训练"</f>
        <v>构音障碍训练</v>
      </c>
      <c r="B1181" s="3">
        <v>340200036</v>
      </c>
      <c r="C1181" s="4">
        <v>13</v>
      </c>
      <c r="D1181" s="3" t="str">
        <f t="shared" si="230"/>
        <v>次</v>
      </c>
      <c r="E1181" s="3" t="str">
        <f t="shared" si="229"/>
        <v>治疗费</v>
      </c>
    </row>
    <row r="1182" customHeight="1" spans="1:5">
      <c r="A1182" s="5" t="str">
        <f>"吞咽功能障碍训练"</f>
        <v>吞咽功能障碍训练</v>
      </c>
      <c r="B1182" s="3">
        <v>340200037</v>
      </c>
      <c r="C1182" s="4">
        <v>13</v>
      </c>
      <c r="D1182" s="3" t="str">
        <f t="shared" si="230"/>
        <v>次</v>
      </c>
      <c r="E1182" s="3" t="str">
        <f t="shared" si="229"/>
        <v>治疗费</v>
      </c>
    </row>
    <row r="1183" customHeight="1" spans="1:5">
      <c r="A1183" s="5" t="str">
        <f>"认知知觉功能障碍训练"</f>
        <v>认知知觉功能障碍训练</v>
      </c>
      <c r="B1183" s="3">
        <v>340200038</v>
      </c>
      <c r="C1183" s="4">
        <v>13</v>
      </c>
      <c r="D1183" s="3" t="str">
        <f t="shared" si="230"/>
        <v>次</v>
      </c>
      <c r="E1183" s="3" t="str">
        <f t="shared" si="229"/>
        <v>治疗费</v>
      </c>
    </row>
    <row r="1184" customHeight="1" spans="1:5">
      <c r="A1184" s="5" t="str">
        <f>"社区康复测查"</f>
        <v>社区康复测查</v>
      </c>
      <c r="B1184" s="3">
        <v>340200039</v>
      </c>
      <c r="C1184" s="4">
        <v>13</v>
      </c>
      <c r="D1184" s="3" t="str">
        <f t="shared" si="230"/>
        <v>次</v>
      </c>
      <c r="E1184" s="3" t="str">
        <f>"检查费"</f>
        <v>检查费</v>
      </c>
    </row>
    <row r="1185" customHeight="1" spans="1:5">
      <c r="A1185" s="5" t="str">
        <f>"偏瘫肢体综合训练"</f>
        <v>偏瘫肢体综合训练</v>
      </c>
      <c r="B1185" s="3">
        <v>340200040</v>
      </c>
      <c r="C1185" s="4">
        <v>52</v>
      </c>
      <c r="D1185" s="3" t="str">
        <f t="shared" si="230"/>
        <v>次</v>
      </c>
      <c r="E1185" s="3" t="str">
        <f t="shared" ref="E1185:E1187" si="231">"治疗费"</f>
        <v>治疗费</v>
      </c>
    </row>
    <row r="1186" customHeight="1" spans="1:5">
      <c r="A1186" s="5" t="str">
        <f>"脑瘫肢体综合训练"</f>
        <v>脑瘫肢体综合训练</v>
      </c>
      <c r="B1186" s="3">
        <v>340200041</v>
      </c>
      <c r="C1186" s="4">
        <v>52</v>
      </c>
      <c r="D1186" s="3" t="str">
        <f t="shared" si="230"/>
        <v>次</v>
      </c>
      <c r="E1186" s="3" t="str">
        <f t="shared" si="231"/>
        <v>治疗费</v>
      </c>
    </row>
    <row r="1187" customHeight="1" spans="1:5">
      <c r="A1187" s="5" t="str">
        <f>"截瘫肢体综合训练"</f>
        <v>截瘫肢体综合训练</v>
      </c>
      <c r="B1187" s="3">
        <v>340200042</v>
      </c>
      <c r="C1187" s="4">
        <v>39</v>
      </c>
      <c r="D1187" s="3" t="str">
        <f t="shared" si="230"/>
        <v>次</v>
      </c>
      <c r="E1187" s="3" t="str">
        <f t="shared" si="231"/>
        <v>治疗费</v>
      </c>
    </row>
    <row r="1188" customHeight="1" spans="1:5">
      <c r="A1188" s="5" t="str">
        <f>"输液针"</f>
        <v>输液针</v>
      </c>
      <c r="B1188" s="3" t="str">
        <f>"360100024-1"</f>
        <v>360100024-1</v>
      </c>
      <c r="C1188" s="4" t="str">
        <f>"0.16"</f>
        <v>0.16</v>
      </c>
      <c r="D1188" s="3" t="str">
        <f>"2205220、2205222、2206220、2206222"</f>
        <v>2205220、2205222、2206220、2206222</v>
      </c>
      <c r="E1188" s="3" t="str">
        <f>"材料费"</f>
        <v>材料费</v>
      </c>
    </row>
    <row r="1189" customHeight="1" spans="1:5">
      <c r="A1189" s="5" t="str">
        <f>"贴敷疗法"</f>
        <v>贴敷疗法</v>
      </c>
      <c r="B1189" s="3">
        <v>410000001</v>
      </c>
      <c r="C1189" s="4">
        <v>10</v>
      </c>
      <c r="D1189" s="3" t="str">
        <f>"每个创面"</f>
        <v>每个创面</v>
      </c>
      <c r="E1189" s="3" t="str">
        <f t="shared" ref="E1189:E1193" si="232">"治疗费"</f>
        <v>治疗费</v>
      </c>
    </row>
    <row r="1190" customHeight="1" spans="1:5">
      <c r="A1190" s="5" t="str">
        <f>"中药涂擦治疗"</f>
        <v>中药涂擦治疗</v>
      </c>
      <c r="B1190" s="3">
        <v>410000003</v>
      </c>
      <c r="C1190" s="4">
        <v>13</v>
      </c>
      <c r="D1190" s="3" t="str">
        <f t="shared" ref="D1190:D1202" si="233">"次"</f>
        <v>次</v>
      </c>
      <c r="E1190" s="3" t="str">
        <f t="shared" si="232"/>
        <v>治疗费</v>
      </c>
    </row>
    <row r="1191" customHeight="1" spans="1:5">
      <c r="A1191" s="5" t="str">
        <f>"中药涂擦治疗大于全身体表面积10"</f>
        <v>中药涂擦治疗大于全身体表面积10</v>
      </c>
      <c r="B1191" s="3" t="str">
        <f>"410000003-a"</f>
        <v>410000003-a</v>
      </c>
      <c r="C1191" s="4">
        <v>19</v>
      </c>
      <c r="D1191" s="3" t="str">
        <f>"-"</f>
        <v>-</v>
      </c>
      <c r="E1191" s="3" t="str">
        <f t="shared" si="232"/>
        <v>治疗费</v>
      </c>
    </row>
    <row r="1192" customHeight="1" spans="1:5">
      <c r="A1192" s="5" t="str">
        <f>"中药蒸汽浴治疗"</f>
        <v>中药蒸汽浴治疗</v>
      </c>
      <c r="B1192" s="3">
        <v>410000007</v>
      </c>
      <c r="C1192" s="4">
        <v>39</v>
      </c>
      <c r="D1192" s="3" t="str">
        <f t="shared" si="233"/>
        <v>次</v>
      </c>
      <c r="E1192" s="3" t="str">
        <f t="shared" si="232"/>
        <v>治疗费</v>
      </c>
    </row>
    <row r="1193" customHeight="1" spans="1:5">
      <c r="A1193" s="5" t="str">
        <f>"中药熏药治疗"</f>
        <v>中药熏药治疗</v>
      </c>
      <c r="B1193" s="3">
        <v>410000009</v>
      </c>
      <c r="C1193" s="4">
        <v>39</v>
      </c>
      <c r="D1193" s="3" t="str">
        <f>"次.含药物调配"</f>
        <v>次.含药物调配</v>
      </c>
      <c r="E1193" s="3" t="str">
        <f t="shared" si="232"/>
        <v>治疗费</v>
      </c>
    </row>
    <row r="1194" customHeight="1" spans="1:5">
      <c r="A1194" s="5" t="str">
        <f>"骨折手法复位整复术"</f>
        <v>骨折手法复位整复术</v>
      </c>
      <c r="B1194" s="3">
        <v>420000001</v>
      </c>
      <c r="C1194" s="4">
        <v>130</v>
      </c>
      <c r="D1194" s="3" t="str">
        <f t="shared" si="233"/>
        <v>次</v>
      </c>
      <c r="E1194" s="3" t="str">
        <f t="shared" ref="E1194:E1199" si="234">"手术费"</f>
        <v>手术费</v>
      </c>
    </row>
    <row r="1195" customHeight="1" spans="1:5">
      <c r="A1195" s="5" t="str">
        <f>"骨折手法整复术掌(跖)、指(趾)骨折按脱位"</f>
        <v>骨折手法整复术掌(跖)、指(趾)骨折按脱位</v>
      </c>
      <c r="B1195" s="3" t="str">
        <f>"420000001-a"</f>
        <v>420000001-a</v>
      </c>
      <c r="C1195" s="4">
        <v>65</v>
      </c>
      <c r="D1195" s="3" t="str">
        <f t="shared" si="233"/>
        <v>次</v>
      </c>
      <c r="E1195" s="3" t="str">
        <f t="shared" si="234"/>
        <v>手术费</v>
      </c>
    </row>
    <row r="1196" customHeight="1" spans="1:5">
      <c r="A1196" s="5" t="str">
        <f>"骨折橇拨复位术"</f>
        <v>骨折橇拨复位术</v>
      </c>
      <c r="B1196" s="3">
        <v>420000002</v>
      </c>
      <c r="C1196" s="4">
        <v>260</v>
      </c>
      <c r="D1196" s="3" t="str">
        <f t="shared" si="233"/>
        <v>次</v>
      </c>
      <c r="E1196" s="3" t="str">
        <f>"治疗费"</f>
        <v>治疗费</v>
      </c>
    </row>
    <row r="1197" customHeight="1" spans="1:5">
      <c r="A1197" s="5" t="str">
        <f>"关节脱位手法整复术"</f>
        <v>关节脱位手法整复术</v>
      </c>
      <c r="B1197" s="3">
        <v>420000005</v>
      </c>
      <c r="C1197" s="4">
        <v>78</v>
      </c>
      <c r="D1197" s="3" t="str">
        <f t="shared" si="233"/>
        <v>次</v>
      </c>
      <c r="E1197" s="3" t="str">
        <f t="shared" si="234"/>
        <v>手术费</v>
      </c>
    </row>
    <row r="1198" customHeight="1" spans="1:5">
      <c r="A1198" s="5" t="str">
        <f>"关节脱位手法整复术(髋关节）"</f>
        <v>关节脱位手法整复术(髋关节）</v>
      </c>
      <c r="B1198" s="3" t="str">
        <f>"420000005-a"</f>
        <v>420000005-a</v>
      </c>
      <c r="C1198" s="4">
        <v>156</v>
      </c>
      <c r="D1198" s="3" t="str">
        <f t="shared" si="233"/>
        <v>次</v>
      </c>
      <c r="E1198" s="3" t="str">
        <f t="shared" si="234"/>
        <v>手术费</v>
      </c>
    </row>
    <row r="1199" customHeight="1" spans="1:5">
      <c r="A1199" s="5" t="str">
        <f>"关节脱位手法整复术(下颌关节脱位、指(趾)间关节脱位)"</f>
        <v>关节脱位手法整复术(下颌关节脱位、指(趾)间关节脱位)</v>
      </c>
      <c r="B1199" s="3" t="str">
        <f>"420000005-b"</f>
        <v>420000005-b</v>
      </c>
      <c r="C1199" s="4">
        <v>39</v>
      </c>
      <c r="D1199" s="3" t="str">
        <f t="shared" si="233"/>
        <v>次</v>
      </c>
      <c r="E1199" s="3" t="str">
        <f t="shared" si="234"/>
        <v>手术费</v>
      </c>
    </row>
    <row r="1200" customHeight="1" spans="1:5">
      <c r="A1200" s="5" t="str">
        <f>"骨折外固定架固定术"</f>
        <v>骨折外固定架固定术</v>
      </c>
      <c r="B1200" s="3">
        <v>420000006</v>
      </c>
      <c r="C1200" s="4">
        <v>195</v>
      </c>
      <c r="D1200" s="3" t="str">
        <f t="shared" si="233"/>
        <v>次</v>
      </c>
      <c r="E1200" s="3" t="str">
        <f t="shared" ref="E1200:E1208" si="235">"治疗费"</f>
        <v>治疗费</v>
      </c>
    </row>
    <row r="1201" customHeight="1" spans="1:5">
      <c r="A1201" s="5" t="str">
        <f>"骨折夹板外架固定术"</f>
        <v>骨折夹板外架固定术</v>
      </c>
      <c r="B1201" s="3">
        <v>420000007</v>
      </c>
      <c r="C1201" s="4">
        <v>130</v>
      </c>
      <c r="D1201" s="3" t="str">
        <f t="shared" si="233"/>
        <v>次</v>
      </c>
      <c r="E1201" s="3" t="str">
        <f>"手术费"</f>
        <v>手术费</v>
      </c>
    </row>
    <row r="1202" customHeight="1" spans="1:5">
      <c r="A1202" s="5" t="str">
        <f>"手指骨折夹板外固定术"</f>
        <v>手指骨折夹板外固定术</v>
      </c>
      <c r="B1202" s="3" t="str">
        <f>"420000007-a"</f>
        <v>420000007-a</v>
      </c>
      <c r="C1202" s="4">
        <v>39</v>
      </c>
      <c r="D1202" s="3" t="str">
        <f t="shared" si="233"/>
        <v>次</v>
      </c>
      <c r="E1202" s="3" t="str">
        <f>"手术费"</f>
        <v>手术费</v>
      </c>
    </row>
    <row r="1203" customHeight="1" spans="1:5">
      <c r="A1203" s="5" t="str">
        <f>"中医定向透药疗法"</f>
        <v>中医定向透药疗法</v>
      </c>
      <c r="B1203" s="3">
        <v>420000013</v>
      </c>
      <c r="C1203" s="4">
        <v>32</v>
      </c>
      <c r="D1203" s="3" t="str">
        <f>"部位"</f>
        <v>部位</v>
      </c>
      <c r="E1203" s="3" t="str">
        <f t="shared" si="235"/>
        <v>治疗费</v>
      </c>
    </row>
    <row r="1204" customHeight="1" spans="1:5">
      <c r="A1204" s="5" t="str">
        <f>"普通针刺"</f>
        <v>普通针刺</v>
      </c>
      <c r="B1204" s="3">
        <v>430000001</v>
      </c>
      <c r="C1204" s="4">
        <v>23</v>
      </c>
      <c r="D1204" s="3" t="str">
        <f t="shared" ref="D1204:D1206" si="236">"次"</f>
        <v>次</v>
      </c>
      <c r="E1204" s="3" t="str">
        <f t="shared" si="235"/>
        <v>治疗费</v>
      </c>
    </row>
    <row r="1205" customHeight="1" spans="1:5">
      <c r="A1205" s="5" t="str">
        <f>"温针"</f>
        <v>温针</v>
      </c>
      <c r="B1205" s="3">
        <v>430000002</v>
      </c>
      <c r="C1205" s="4">
        <v>30</v>
      </c>
      <c r="D1205" s="3" t="str">
        <f t="shared" si="236"/>
        <v>次</v>
      </c>
      <c r="E1205" s="3" t="str">
        <f t="shared" si="235"/>
        <v>治疗费</v>
      </c>
    </row>
    <row r="1206" customHeight="1" spans="1:5">
      <c r="A1206" s="5" t="str">
        <f>"手指点穴"</f>
        <v>手指点穴</v>
      </c>
      <c r="B1206" s="3">
        <v>430000003</v>
      </c>
      <c r="C1206" s="4">
        <v>15</v>
      </c>
      <c r="D1206" s="3" t="str">
        <f t="shared" si="236"/>
        <v>次</v>
      </c>
      <c r="E1206" s="3" t="str">
        <f t="shared" si="235"/>
        <v>治疗费</v>
      </c>
    </row>
    <row r="1207" customHeight="1" spans="1:5">
      <c r="A1207" s="5" t="str">
        <f>"馋针"</f>
        <v>馋针</v>
      </c>
      <c r="B1207" s="3">
        <v>430000004</v>
      </c>
      <c r="C1207" s="4">
        <v>7.5</v>
      </c>
      <c r="D1207" s="3" t="str">
        <f>"每个部位"</f>
        <v>每个部位</v>
      </c>
      <c r="E1207" s="3" t="str">
        <f t="shared" si="235"/>
        <v>治疗费</v>
      </c>
    </row>
    <row r="1208" customHeight="1" spans="1:5">
      <c r="A1208" s="5" t="str">
        <f>"微针针刺"</f>
        <v>微针针刺</v>
      </c>
      <c r="B1208" s="3">
        <v>430000005</v>
      </c>
      <c r="C1208" s="4">
        <v>23</v>
      </c>
      <c r="D1208" s="3" t="str">
        <f t="shared" ref="D1208:D1211" si="237">"次"</f>
        <v>次</v>
      </c>
      <c r="E1208" s="3" t="str">
        <f t="shared" si="235"/>
        <v>治疗费</v>
      </c>
    </row>
    <row r="1209" customHeight="1" spans="1:5">
      <c r="A1209" s="5" t="str">
        <f>"针灸针"</f>
        <v>针灸针</v>
      </c>
      <c r="B1209" s="3" t="str">
        <f>"430000005-1"</f>
        <v>430000005-1</v>
      </c>
      <c r="C1209" s="4" t="str">
        <f>"0.2"</f>
        <v>0.2</v>
      </c>
      <c r="D1209" s="3" t="str">
        <f>"0.16-0.45*13-75"</f>
        <v>0.16-0.45*13-75</v>
      </c>
      <c r="E1209" s="3" t="str">
        <f>"材料费"</f>
        <v>材料费</v>
      </c>
    </row>
    <row r="1210" customHeight="1" spans="1:5">
      <c r="A1210" s="5" t="str">
        <f>"锋钩针"</f>
        <v>锋钩针</v>
      </c>
      <c r="B1210" s="3">
        <v>430000006</v>
      </c>
      <c r="C1210" s="4">
        <v>15</v>
      </c>
      <c r="D1210" s="3" t="str">
        <f t="shared" si="237"/>
        <v>次</v>
      </c>
      <c r="E1210" s="3" t="str">
        <f t="shared" ref="E1210:E1248" si="238">"治疗费"</f>
        <v>治疗费</v>
      </c>
    </row>
    <row r="1211" customHeight="1" spans="1:5">
      <c r="A1211" s="5" t="str">
        <f>"头皮针"</f>
        <v>头皮针</v>
      </c>
      <c r="B1211" s="3">
        <v>430000007</v>
      </c>
      <c r="C1211" s="4">
        <v>23</v>
      </c>
      <c r="D1211" s="3" t="str">
        <f t="shared" si="237"/>
        <v>次</v>
      </c>
      <c r="E1211" s="3" t="str">
        <f t="shared" si="238"/>
        <v>治疗费</v>
      </c>
    </row>
    <row r="1212" customHeight="1" spans="1:5">
      <c r="A1212" s="5" t="str">
        <f>"眼针"</f>
        <v>眼针</v>
      </c>
      <c r="B1212" s="3">
        <v>430000008</v>
      </c>
      <c r="C1212" s="4">
        <v>23</v>
      </c>
      <c r="D1212" s="3" t="str">
        <f>"-"</f>
        <v>-</v>
      </c>
      <c r="E1212" s="3" t="str">
        <f t="shared" si="238"/>
        <v>治疗费</v>
      </c>
    </row>
    <row r="1213" customHeight="1" spans="1:5">
      <c r="A1213" s="5" t="str">
        <f>"梅花针"</f>
        <v>梅花针</v>
      </c>
      <c r="B1213" s="3">
        <v>430000009</v>
      </c>
      <c r="C1213" s="4">
        <v>15</v>
      </c>
      <c r="D1213" s="3" t="str">
        <f t="shared" ref="D1213:D1220" si="239">"次"</f>
        <v>次</v>
      </c>
      <c r="E1213" s="3" t="str">
        <f t="shared" si="238"/>
        <v>治疗费</v>
      </c>
    </row>
    <row r="1214" customHeight="1" spans="1:5">
      <c r="A1214" s="5" t="str">
        <f>"火针"</f>
        <v>火针</v>
      </c>
      <c r="B1214" s="3">
        <v>430000010</v>
      </c>
      <c r="C1214" s="4">
        <v>15</v>
      </c>
      <c r="D1214" s="3" t="str">
        <f t="shared" si="239"/>
        <v>次</v>
      </c>
      <c r="E1214" s="3" t="str">
        <f t="shared" si="238"/>
        <v>治疗费</v>
      </c>
    </row>
    <row r="1215" customHeight="1" spans="1:5">
      <c r="A1215" s="5" t="str">
        <f>"埋针治疗"</f>
        <v>埋针治疗</v>
      </c>
      <c r="B1215" s="3">
        <v>430000011</v>
      </c>
      <c r="C1215" s="4">
        <v>12</v>
      </c>
      <c r="D1215" s="3" t="str">
        <f>"穴位"</f>
        <v>穴位</v>
      </c>
      <c r="E1215" s="3" t="str">
        <f t="shared" si="238"/>
        <v>治疗费</v>
      </c>
    </row>
    <row r="1216" customHeight="1" spans="1:5">
      <c r="A1216" s="5" t="str">
        <f>"耳针"</f>
        <v>耳针</v>
      </c>
      <c r="B1216" s="3">
        <v>430000012</v>
      </c>
      <c r="C1216" s="4">
        <v>15</v>
      </c>
      <c r="D1216" s="3" t="str">
        <f>"单耳"</f>
        <v>单耳</v>
      </c>
      <c r="E1216" s="3" t="str">
        <f t="shared" si="238"/>
        <v>治疗费</v>
      </c>
    </row>
    <row r="1217" customHeight="1" spans="1:5">
      <c r="A1217" s="5" t="str">
        <f>"芒针"</f>
        <v>芒针</v>
      </c>
      <c r="B1217" s="3">
        <v>430000013</v>
      </c>
      <c r="C1217" s="4">
        <v>15</v>
      </c>
      <c r="D1217" s="3" t="str">
        <f t="shared" si="239"/>
        <v>次</v>
      </c>
      <c r="E1217" s="3" t="str">
        <f t="shared" si="238"/>
        <v>治疗费</v>
      </c>
    </row>
    <row r="1218" customHeight="1" spans="1:5">
      <c r="A1218" s="5" t="str">
        <f>"针刺运动疗法"</f>
        <v>针刺运动疗法</v>
      </c>
      <c r="B1218" s="3">
        <v>430000014</v>
      </c>
      <c r="C1218" s="4">
        <v>30</v>
      </c>
      <c r="D1218" s="3" t="str">
        <f t="shared" si="239"/>
        <v>次</v>
      </c>
      <c r="E1218" s="3" t="str">
        <f t="shared" si="238"/>
        <v>治疗费</v>
      </c>
    </row>
    <row r="1219" customHeight="1" spans="1:5">
      <c r="A1219" s="5" t="str">
        <f>"针刺麻醉"</f>
        <v>针刺麻醉</v>
      </c>
      <c r="B1219" s="3">
        <v>430000015</v>
      </c>
      <c r="C1219" s="4">
        <v>45</v>
      </c>
      <c r="D1219" s="3" t="str">
        <f t="shared" si="239"/>
        <v>次</v>
      </c>
      <c r="E1219" s="3" t="str">
        <f t="shared" si="238"/>
        <v>治疗费</v>
      </c>
    </row>
    <row r="1220" customHeight="1" spans="1:5">
      <c r="A1220" s="5" t="str">
        <f>"电针"</f>
        <v>电针</v>
      </c>
      <c r="B1220" s="3">
        <v>430000016</v>
      </c>
      <c r="C1220" s="4">
        <v>15</v>
      </c>
      <c r="D1220" s="3" t="str">
        <f t="shared" si="239"/>
        <v>次</v>
      </c>
      <c r="E1220" s="3" t="str">
        <f t="shared" si="238"/>
        <v>治疗费</v>
      </c>
    </row>
    <row r="1221" customHeight="1" spans="1:5">
      <c r="A1221" s="5" t="str">
        <f>"浮针"</f>
        <v>浮针</v>
      </c>
      <c r="B1221" s="3">
        <v>430000017</v>
      </c>
      <c r="C1221" s="4">
        <v>15</v>
      </c>
      <c r="D1221" s="3" t="str">
        <f t="shared" ref="D1221:D1227" si="240">"穴位"</f>
        <v>穴位</v>
      </c>
      <c r="E1221" s="3" t="str">
        <f t="shared" si="238"/>
        <v>治疗费</v>
      </c>
    </row>
    <row r="1222" customHeight="1" spans="1:5">
      <c r="A1222" s="5" t="str">
        <f>"微波针"</f>
        <v>微波针</v>
      </c>
      <c r="B1222" s="3">
        <v>430000018</v>
      </c>
      <c r="C1222" s="4">
        <v>15</v>
      </c>
      <c r="D1222" s="3" t="str">
        <f t="shared" ref="D1222:D1224" si="241">"次"</f>
        <v>次</v>
      </c>
      <c r="E1222" s="3" t="str">
        <f t="shared" si="238"/>
        <v>治疗费</v>
      </c>
    </row>
    <row r="1223" customHeight="1" spans="1:5">
      <c r="A1223" s="5" t="str">
        <f>"激光针"</f>
        <v>激光针</v>
      </c>
      <c r="B1223" s="3">
        <v>430000019</v>
      </c>
      <c r="C1223" s="4">
        <v>15</v>
      </c>
      <c r="D1223" s="3" t="str">
        <f t="shared" si="241"/>
        <v>次</v>
      </c>
      <c r="E1223" s="3" t="str">
        <f t="shared" si="238"/>
        <v>治疗费</v>
      </c>
    </row>
    <row r="1224" customHeight="1" spans="1:5">
      <c r="A1224" s="5" t="str">
        <f>"磁热疗法"</f>
        <v>磁热疗法</v>
      </c>
      <c r="B1224" s="3">
        <v>430000020</v>
      </c>
      <c r="C1224" s="4">
        <v>15</v>
      </c>
      <c r="D1224" s="3" t="str">
        <f t="shared" si="241"/>
        <v>次</v>
      </c>
      <c r="E1224" s="3" t="str">
        <f t="shared" si="238"/>
        <v>治疗费</v>
      </c>
    </row>
    <row r="1225" customHeight="1" spans="1:5">
      <c r="A1225" s="5" t="str">
        <f>"放血疗法"</f>
        <v>放血疗法</v>
      </c>
      <c r="B1225" s="3">
        <v>430000021</v>
      </c>
      <c r="C1225" s="4">
        <v>15</v>
      </c>
      <c r="D1225" s="3" t="str">
        <f t="shared" si="240"/>
        <v>穴位</v>
      </c>
      <c r="E1225" s="3" t="str">
        <f t="shared" si="238"/>
        <v>治疗费</v>
      </c>
    </row>
    <row r="1226" customHeight="1" spans="1:5">
      <c r="A1226" s="5" t="str">
        <f>"穴位注射"</f>
        <v>穴位注射</v>
      </c>
      <c r="B1226" s="3">
        <v>430000022</v>
      </c>
      <c r="C1226" s="4">
        <v>15</v>
      </c>
      <c r="D1226" s="3" t="str">
        <f t="shared" si="240"/>
        <v>穴位</v>
      </c>
      <c r="E1226" s="3" t="str">
        <f t="shared" si="238"/>
        <v>治疗费</v>
      </c>
    </row>
    <row r="1227" customHeight="1" spans="1:5">
      <c r="A1227" s="5" t="str">
        <f>"穴位贴敷治疗"</f>
        <v>穴位贴敷治疗</v>
      </c>
      <c r="B1227" s="3">
        <v>430000023</v>
      </c>
      <c r="C1227" s="4">
        <v>8</v>
      </c>
      <c r="D1227" s="3" t="str">
        <f t="shared" si="240"/>
        <v>穴位</v>
      </c>
      <c r="E1227" s="3" t="str">
        <f t="shared" si="238"/>
        <v>治疗费</v>
      </c>
    </row>
    <row r="1228" customHeight="1" spans="1:5">
      <c r="A1228" s="5" t="str">
        <f>"子午流注开穴法"</f>
        <v>子午流注开穴法</v>
      </c>
      <c r="B1228" s="3">
        <v>430000024</v>
      </c>
      <c r="C1228" s="4">
        <v>30</v>
      </c>
      <c r="D1228" s="3" t="str">
        <f t="shared" ref="D1228:D1233" si="242">"次"</f>
        <v>次</v>
      </c>
      <c r="E1228" s="3" t="str">
        <f t="shared" si="238"/>
        <v>治疗费</v>
      </c>
    </row>
    <row r="1229" customHeight="1" spans="1:5">
      <c r="A1229" s="5" t="str">
        <f>"经络穴位测评疗法"</f>
        <v>经络穴位测评疗法</v>
      </c>
      <c r="B1229" s="3">
        <v>430000025</v>
      </c>
      <c r="C1229" s="4">
        <v>15</v>
      </c>
      <c r="D1229" s="3" t="str">
        <f t="shared" si="242"/>
        <v>次</v>
      </c>
      <c r="E1229" s="3" t="str">
        <f t="shared" si="238"/>
        <v>治疗费</v>
      </c>
    </row>
    <row r="1230" customHeight="1" spans="1:5">
      <c r="A1230" s="5" t="str">
        <f>"通脑活络针刺"</f>
        <v>通脑活络针刺</v>
      </c>
      <c r="B1230" s="3">
        <v>430000029</v>
      </c>
      <c r="C1230" s="4">
        <v>50</v>
      </c>
      <c r="D1230" s="3" t="str">
        <f t="shared" si="242"/>
        <v>次</v>
      </c>
      <c r="E1230" s="3" t="str">
        <f t="shared" si="238"/>
        <v>治疗费</v>
      </c>
    </row>
    <row r="1231" customHeight="1" spans="1:5">
      <c r="A1231" s="5" t="str">
        <f>"灸法"</f>
        <v>灸法</v>
      </c>
      <c r="B1231" s="3">
        <v>440000001</v>
      </c>
      <c r="C1231" s="4">
        <v>15</v>
      </c>
      <c r="D1231" s="3" t="str">
        <f t="shared" si="242"/>
        <v>次</v>
      </c>
      <c r="E1231" s="3" t="str">
        <f t="shared" si="238"/>
        <v>治疗费</v>
      </c>
    </row>
    <row r="1232" customHeight="1" spans="1:5">
      <c r="A1232" s="5" t="str">
        <f>"隔物灸法"</f>
        <v>隔物灸法</v>
      </c>
      <c r="B1232" s="3">
        <v>440000002</v>
      </c>
      <c r="C1232" s="4">
        <v>15</v>
      </c>
      <c r="D1232" s="3" t="str">
        <f t="shared" si="242"/>
        <v>次</v>
      </c>
      <c r="E1232" s="3" t="str">
        <f t="shared" si="238"/>
        <v>治疗费</v>
      </c>
    </row>
    <row r="1233" customHeight="1" spans="1:5">
      <c r="A1233" s="5" t="str">
        <f>"灯火灸"</f>
        <v>灯火灸</v>
      </c>
      <c r="B1233" s="3">
        <v>440000003</v>
      </c>
      <c r="C1233" s="4">
        <v>15</v>
      </c>
      <c r="D1233" s="3" t="str">
        <f t="shared" si="242"/>
        <v>次</v>
      </c>
      <c r="E1233" s="3" t="str">
        <f t="shared" si="238"/>
        <v>治疗费</v>
      </c>
    </row>
    <row r="1234" customHeight="1" spans="1:5">
      <c r="A1234" s="5" t="str">
        <f>"拔罐疗法"</f>
        <v>拔罐疗法</v>
      </c>
      <c r="B1234" s="3">
        <v>440000004</v>
      </c>
      <c r="C1234" s="4">
        <v>15</v>
      </c>
      <c r="D1234" s="3" t="str">
        <f>"罐"</f>
        <v>罐</v>
      </c>
      <c r="E1234" s="3" t="str">
        <f t="shared" si="238"/>
        <v>治疗费</v>
      </c>
    </row>
    <row r="1235" customHeight="1" spans="1:5">
      <c r="A1235" s="5" t="str">
        <f>"药物罐疗法"</f>
        <v>药物罐疗法</v>
      </c>
      <c r="B1235" s="3">
        <v>440000005</v>
      </c>
      <c r="C1235" s="4">
        <v>15</v>
      </c>
      <c r="D1235" s="3" t="str">
        <f>"罐"</f>
        <v>罐</v>
      </c>
      <c r="E1235" s="3" t="str">
        <f t="shared" si="238"/>
        <v>治疗费</v>
      </c>
    </row>
    <row r="1236" customHeight="1" spans="1:5">
      <c r="A1236" s="5" t="str">
        <f>"游走罐"</f>
        <v>游走罐</v>
      </c>
      <c r="B1236" s="3">
        <v>440000006</v>
      </c>
      <c r="C1236" s="4">
        <v>15</v>
      </c>
      <c r="D1236" s="3" t="str">
        <f t="shared" ref="D1236:D1257" si="243">"次"</f>
        <v>次</v>
      </c>
      <c r="E1236" s="3" t="str">
        <f t="shared" si="238"/>
        <v>治疗费</v>
      </c>
    </row>
    <row r="1237" customHeight="1" spans="1:5">
      <c r="A1237" s="5" t="str">
        <f>"督灸"</f>
        <v>督灸</v>
      </c>
      <c r="B1237" s="3">
        <v>440000007</v>
      </c>
      <c r="C1237" s="4">
        <v>44</v>
      </c>
      <c r="D1237" s="3" t="str">
        <f t="shared" si="243"/>
        <v>次</v>
      </c>
      <c r="E1237" s="3" t="str">
        <f t="shared" si="238"/>
        <v>治疗费</v>
      </c>
    </row>
    <row r="1238" customHeight="1" spans="1:5">
      <c r="A1238" s="5" t="str">
        <f>"雷火灸"</f>
        <v>雷火灸</v>
      </c>
      <c r="B1238" s="3">
        <v>440000008</v>
      </c>
      <c r="C1238" s="4">
        <v>53</v>
      </c>
      <c r="D1238" s="3" t="str">
        <f>"部位"</f>
        <v>部位</v>
      </c>
      <c r="E1238" s="3" t="str">
        <f t="shared" si="238"/>
        <v>治疗费</v>
      </c>
    </row>
    <row r="1239" customHeight="1" spans="1:5">
      <c r="A1239" s="5" t="str">
        <f>"落枕推拿治疗"</f>
        <v>落枕推拿治疗</v>
      </c>
      <c r="B1239" s="3">
        <v>450000001</v>
      </c>
      <c r="C1239" s="4">
        <v>28</v>
      </c>
      <c r="D1239" s="3" t="str">
        <f t="shared" si="243"/>
        <v>次</v>
      </c>
      <c r="E1239" s="3" t="str">
        <f t="shared" si="238"/>
        <v>治疗费</v>
      </c>
    </row>
    <row r="1240" customHeight="1" spans="1:5">
      <c r="A1240" s="5" t="str">
        <f>"颈椎病推拿治疗"</f>
        <v>颈椎病推拿治疗</v>
      </c>
      <c r="B1240" s="3">
        <v>450000002</v>
      </c>
      <c r="C1240" s="4">
        <v>49</v>
      </c>
      <c r="D1240" s="3" t="str">
        <f t="shared" si="243"/>
        <v>次</v>
      </c>
      <c r="E1240" s="3" t="str">
        <f t="shared" si="238"/>
        <v>治疗费</v>
      </c>
    </row>
    <row r="1241" customHeight="1" spans="1:5">
      <c r="A1241" s="5" t="str">
        <f>"肩周炎推拿治疗"</f>
        <v>肩周炎推拿治疗</v>
      </c>
      <c r="B1241" s="3">
        <v>450000003</v>
      </c>
      <c r="C1241" s="4">
        <v>35</v>
      </c>
      <c r="D1241" s="3" t="str">
        <f t="shared" si="243"/>
        <v>次</v>
      </c>
      <c r="E1241" s="3" t="str">
        <f t="shared" si="238"/>
        <v>治疗费</v>
      </c>
    </row>
    <row r="1242" customHeight="1" spans="1:5">
      <c r="A1242" s="5" t="str">
        <f>"网球肘推拿治疗"</f>
        <v>网球肘推拿治疗</v>
      </c>
      <c r="B1242" s="3">
        <v>450000004</v>
      </c>
      <c r="C1242" s="4">
        <v>35</v>
      </c>
      <c r="D1242" s="3" t="str">
        <f t="shared" si="243"/>
        <v>次</v>
      </c>
      <c r="E1242" s="3" t="str">
        <f t="shared" si="238"/>
        <v>治疗费</v>
      </c>
    </row>
    <row r="1243" customHeight="1" spans="1:5">
      <c r="A1243" s="5" t="str">
        <f>"急性腰扭伤推拿治疗"</f>
        <v>急性腰扭伤推拿治疗</v>
      </c>
      <c r="B1243" s="3">
        <v>450000005</v>
      </c>
      <c r="C1243" s="4">
        <v>35</v>
      </c>
      <c r="D1243" s="3" t="str">
        <f t="shared" si="243"/>
        <v>次</v>
      </c>
      <c r="E1243" s="3" t="str">
        <f t="shared" si="238"/>
        <v>治疗费</v>
      </c>
    </row>
    <row r="1244" customHeight="1" spans="1:5">
      <c r="A1244" s="5" t="str">
        <f>"腰椎间盘突出推拿治疗"</f>
        <v>腰椎间盘突出推拿治疗</v>
      </c>
      <c r="B1244" s="3">
        <v>450000006</v>
      </c>
      <c r="C1244" s="4">
        <v>63</v>
      </c>
      <c r="D1244" s="3" t="str">
        <f t="shared" si="243"/>
        <v>次</v>
      </c>
      <c r="E1244" s="3" t="str">
        <f t="shared" si="238"/>
        <v>治疗费</v>
      </c>
    </row>
    <row r="1245" customHeight="1" spans="1:5">
      <c r="A1245" s="5" t="str">
        <f>"膝关节骨性关节炎推拿治疗"</f>
        <v>膝关节骨性关节炎推拿治疗</v>
      </c>
      <c r="B1245" s="3">
        <v>450000007</v>
      </c>
      <c r="C1245" s="4">
        <v>35</v>
      </c>
      <c r="D1245" s="3" t="str">
        <f t="shared" si="243"/>
        <v>次</v>
      </c>
      <c r="E1245" s="3" t="str">
        <f t="shared" si="238"/>
        <v>治疗费</v>
      </c>
    </row>
    <row r="1246" customHeight="1" spans="1:5">
      <c r="A1246" s="5" t="str">
        <f>"内科疾病推拿治疗"</f>
        <v>内科疾病推拿治疗</v>
      </c>
      <c r="B1246" s="3">
        <v>450000008</v>
      </c>
      <c r="C1246" s="4">
        <v>49</v>
      </c>
      <c r="D1246" s="3" t="str">
        <f t="shared" si="243"/>
        <v>次</v>
      </c>
      <c r="E1246" s="3" t="str">
        <f t="shared" si="238"/>
        <v>治疗费</v>
      </c>
    </row>
    <row r="1247" customHeight="1" spans="1:5">
      <c r="A1247" s="5" t="str">
        <f>"其他推拿治疗"</f>
        <v>其他推拿治疗</v>
      </c>
      <c r="B1247" s="3">
        <v>450000009</v>
      </c>
      <c r="C1247" s="4">
        <v>42</v>
      </c>
      <c r="D1247" s="3" t="str">
        <f t="shared" si="243"/>
        <v>次</v>
      </c>
      <c r="E1247" s="3" t="str">
        <f t="shared" si="238"/>
        <v>治疗费</v>
      </c>
    </row>
    <row r="1248" customHeight="1" spans="1:5">
      <c r="A1248" s="5" t="str">
        <f>"小儿捏脊治疗"</f>
        <v>小儿捏脊治疗</v>
      </c>
      <c r="B1248" s="3">
        <v>450000010</v>
      </c>
      <c r="C1248" s="4">
        <v>21</v>
      </c>
      <c r="D1248" s="3" t="str">
        <f t="shared" si="243"/>
        <v>次</v>
      </c>
      <c r="E1248" s="3" t="str">
        <f t="shared" si="238"/>
        <v>治疗费</v>
      </c>
    </row>
    <row r="1249" customHeight="1" spans="1:5">
      <c r="A1249" s="5" t="str">
        <f>"直肠脱出复位治疗"</f>
        <v>直肠脱出复位治疗</v>
      </c>
      <c r="B1249" s="3">
        <v>460000001</v>
      </c>
      <c r="C1249" s="4">
        <v>160</v>
      </c>
      <c r="D1249" s="3" t="str">
        <f t="shared" si="243"/>
        <v>次</v>
      </c>
      <c r="E1249" s="3" t="str">
        <f t="shared" ref="E1249:E1257" si="244">"手术治疗费"</f>
        <v>手术治疗费</v>
      </c>
    </row>
    <row r="1250" customHeight="1" spans="1:5">
      <c r="A1250" s="5" t="str">
        <f>"直肠周围硬化剂注射治疗"</f>
        <v>直肠周围硬化剂注射治疗</v>
      </c>
      <c r="B1250" s="3">
        <v>460000002</v>
      </c>
      <c r="C1250" s="4">
        <v>160</v>
      </c>
      <c r="D1250" s="3" t="str">
        <f t="shared" si="243"/>
        <v>次</v>
      </c>
      <c r="E1250" s="3" t="str">
        <f t="shared" si="244"/>
        <v>手术治疗费</v>
      </c>
    </row>
    <row r="1251" customHeight="1" spans="1:5">
      <c r="A1251" s="5" t="str">
        <f>"内痔硬化剂注射治疗(枯痔治疗)"</f>
        <v>内痔硬化剂注射治疗(枯痔治疗)</v>
      </c>
      <c r="B1251" s="3">
        <v>460000003</v>
      </c>
      <c r="C1251" s="4">
        <v>56</v>
      </c>
      <c r="D1251" s="3" t="str">
        <f t="shared" si="243"/>
        <v>次</v>
      </c>
      <c r="E1251" s="3" t="str">
        <f>"治疗费"</f>
        <v>治疗费</v>
      </c>
    </row>
    <row r="1252" customHeight="1" spans="1:5">
      <c r="A1252" s="5" t="str">
        <f>"高位复杂肛瘘挂线治疗"</f>
        <v>高位复杂肛瘘挂线治疗</v>
      </c>
      <c r="B1252" s="3">
        <v>460000004</v>
      </c>
      <c r="C1252" s="4">
        <v>600</v>
      </c>
      <c r="D1252" s="3" t="str">
        <f t="shared" si="243"/>
        <v>次</v>
      </c>
      <c r="E1252" s="3" t="str">
        <f t="shared" si="244"/>
        <v>手术治疗费</v>
      </c>
    </row>
    <row r="1253" customHeight="1" spans="1:5">
      <c r="A1253" s="5" t="str">
        <f>"血栓性外痔切除术"</f>
        <v>血栓性外痔切除术</v>
      </c>
      <c r="B1253" s="3">
        <v>460000005</v>
      </c>
      <c r="C1253" s="4">
        <v>320</v>
      </c>
      <c r="D1253" s="3" t="str">
        <f t="shared" si="243"/>
        <v>次</v>
      </c>
      <c r="E1253" s="3" t="str">
        <f t="shared" si="244"/>
        <v>手术治疗费</v>
      </c>
    </row>
    <row r="1254" customHeight="1" spans="1:5">
      <c r="A1254" s="5" t="str">
        <f>"环状混合痔切除术"</f>
        <v>环状混合痔切除术</v>
      </c>
      <c r="B1254" s="3">
        <v>460000006</v>
      </c>
      <c r="C1254" s="4">
        <v>600</v>
      </c>
      <c r="D1254" s="3" t="str">
        <f t="shared" si="243"/>
        <v>次</v>
      </c>
      <c r="E1254" s="3" t="str">
        <f t="shared" si="244"/>
        <v>手术治疗费</v>
      </c>
    </row>
    <row r="1255" customHeight="1" spans="1:5">
      <c r="A1255" s="5" t="str">
        <f>"混合痔外剥内扎术"</f>
        <v>混合痔外剥内扎术</v>
      </c>
      <c r="B1255" s="3">
        <v>460000007</v>
      </c>
      <c r="C1255" s="4">
        <v>440</v>
      </c>
      <c r="D1255" s="3" t="str">
        <f t="shared" si="243"/>
        <v>次</v>
      </c>
      <c r="E1255" s="3" t="str">
        <f t="shared" si="244"/>
        <v>手术治疗费</v>
      </c>
    </row>
    <row r="1256" customHeight="1" spans="1:5">
      <c r="A1256" s="5" t="str">
        <f>"肛周脓肿一次性根治术"</f>
        <v>肛周脓肿一次性根治术</v>
      </c>
      <c r="B1256" s="3">
        <v>460000008</v>
      </c>
      <c r="C1256" s="4">
        <v>320</v>
      </c>
      <c r="D1256" s="3" t="str">
        <f t="shared" si="243"/>
        <v>次</v>
      </c>
      <c r="E1256" s="3" t="str">
        <f t="shared" si="244"/>
        <v>手术治疗费</v>
      </c>
    </row>
    <row r="1257" customHeight="1" spans="1:5">
      <c r="A1257" s="5" t="str">
        <f>"直肠前突修补术"</f>
        <v>直肠前突修补术</v>
      </c>
      <c r="B1257" s="3">
        <v>460000010</v>
      </c>
      <c r="C1257" s="4">
        <v>640</v>
      </c>
      <c r="D1257" s="3" t="str">
        <f t="shared" si="243"/>
        <v>次</v>
      </c>
      <c r="E1257" s="3" t="str">
        <f t="shared" si="244"/>
        <v>手术治疗费</v>
      </c>
    </row>
    <row r="1258" customHeight="1" spans="1:5">
      <c r="A1258" s="5" t="str">
        <f>"小针刀治疗"</f>
        <v>小针刀治疗</v>
      </c>
      <c r="B1258" s="3">
        <v>470000005</v>
      </c>
      <c r="C1258" s="4">
        <v>72</v>
      </c>
      <c r="D1258" s="3" t="str">
        <f>"每个部位"</f>
        <v>每个部位</v>
      </c>
      <c r="E1258" s="3" t="str">
        <f t="shared" ref="E1258:E1260" si="245">"治疗费"</f>
        <v>治疗费</v>
      </c>
    </row>
    <row r="1259" customHeight="1" spans="1:5">
      <c r="A1259" s="5" t="str">
        <f>"耳咽中药吹粉治疗"</f>
        <v>耳咽中药吹粉治疗</v>
      </c>
      <c r="B1259" s="3">
        <v>470000009</v>
      </c>
      <c r="C1259" s="4">
        <v>4.8</v>
      </c>
      <c r="D1259" s="3" t="str">
        <f t="shared" ref="D1259:D1262" si="246">"次"</f>
        <v>次</v>
      </c>
      <c r="E1259" s="3" t="str">
        <f t="shared" si="245"/>
        <v>治疗费</v>
      </c>
    </row>
    <row r="1260" customHeight="1" spans="1:5">
      <c r="A1260" s="5" t="str">
        <f>"中药直肠滴入治疗"</f>
        <v>中药直肠滴入治疗</v>
      </c>
      <c r="B1260" s="3">
        <v>470000011</v>
      </c>
      <c r="C1260" s="4">
        <v>3.6</v>
      </c>
      <c r="D1260" s="3" t="str">
        <f t="shared" si="246"/>
        <v>次</v>
      </c>
      <c r="E1260" s="3" t="str">
        <f t="shared" si="245"/>
        <v>治疗费</v>
      </c>
    </row>
    <row r="1261" customHeight="1" spans="1:5">
      <c r="A1261" s="5" t="str">
        <f>"中医保健配方、膏药配制费"</f>
        <v>中医保健配方、膏药配制费</v>
      </c>
      <c r="B1261" s="3">
        <v>480000003</v>
      </c>
      <c r="C1261" s="4">
        <v>350</v>
      </c>
      <c r="D1261" s="3" t="str">
        <f>"/"</f>
        <v>/</v>
      </c>
      <c r="E1261" s="3" t="str">
        <f>"服务收入"</f>
        <v>服务收入</v>
      </c>
    </row>
    <row r="1262" customHeight="1" spans="1:5">
      <c r="A1262" s="5" t="str">
        <f>"煎药机煎药"</f>
        <v>煎药机煎药</v>
      </c>
      <c r="B1262" s="3">
        <v>480000005</v>
      </c>
      <c r="C1262" s="4">
        <v>2.2</v>
      </c>
      <c r="D1262" s="3" t="str">
        <f t="shared" si="246"/>
        <v>次</v>
      </c>
      <c r="E1262" s="3" t="str">
        <f>"治疗费"</f>
        <v>治疗费</v>
      </c>
    </row>
    <row r="1263" customHeight="1" spans="1:5">
      <c r="A1263" s="5" t="str">
        <f>"无菌敷贴"</f>
        <v>无菌敷贴</v>
      </c>
      <c r="B1263" s="3" t="str">
        <f>"FY0097"</f>
        <v>FY0097</v>
      </c>
      <c r="C1263" s="4">
        <v>2.84</v>
      </c>
      <c r="D1263" s="3" t="str">
        <f>"6cm*7cm"</f>
        <v>6cm*7cm</v>
      </c>
      <c r="E1263" s="3" t="str">
        <f>"材料费"</f>
        <v>材料费</v>
      </c>
    </row>
    <row r="1264" customHeight="1" spans="1:5">
      <c r="A1264" s="5" t="str">
        <f>"血细胞分析(五分类)(免费)"</f>
        <v>血细胞分析(五分类)(免费)</v>
      </c>
      <c r="B1264" s="3" t="str">
        <f>"JM0006"</f>
        <v>JM0006</v>
      </c>
      <c r="C1264" s="4" t="str">
        <f t="shared" ref="C1264:C1271" si="247">"0"</f>
        <v>0</v>
      </c>
      <c r="D1264" s="3" t="str">
        <f t="shared" ref="D1264:D1282" si="248">"项"</f>
        <v>项</v>
      </c>
      <c r="E1264" s="3" t="str">
        <f t="shared" ref="E1264:E1279" si="249">"检验费"</f>
        <v>检验费</v>
      </c>
    </row>
    <row r="1265" customHeight="1" spans="1:5">
      <c r="A1265" s="5" t="str">
        <f>"血清白蛋白测定（免费）"</f>
        <v>血清白蛋白测定（免费）</v>
      </c>
      <c r="B1265" s="3" t="str">
        <f>"JM0009"</f>
        <v>JM0009</v>
      </c>
      <c r="C1265" s="4" t="str">
        <f t="shared" si="247"/>
        <v>0</v>
      </c>
      <c r="D1265" s="3" t="str">
        <f t="shared" si="248"/>
        <v>项</v>
      </c>
      <c r="E1265" s="3" t="str">
        <f t="shared" si="249"/>
        <v>检验费</v>
      </c>
    </row>
    <row r="1266" customHeight="1" spans="1:5">
      <c r="A1266" s="5" t="str">
        <f>"血清直接胆红素测定（免费）"</f>
        <v>血清直接胆红素测定（免费）</v>
      </c>
      <c r="B1266" s="3" t="str">
        <f>"JM0011"</f>
        <v>JM0011</v>
      </c>
      <c r="C1266" s="4" t="str">
        <f t="shared" si="247"/>
        <v>0</v>
      </c>
      <c r="D1266" s="3" t="str">
        <f t="shared" si="248"/>
        <v>项</v>
      </c>
      <c r="E1266" s="3" t="str">
        <f t="shared" si="249"/>
        <v>检验费</v>
      </c>
    </row>
    <row r="1267" customHeight="1" spans="1:5">
      <c r="A1267" s="5" t="str">
        <f>"血清丙氨酸氨基转移酶测定（免费）"</f>
        <v>血清丙氨酸氨基转移酶测定（免费）</v>
      </c>
      <c r="B1267" s="3" t="str">
        <f>"JM0012"</f>
        <v>JM0012</v>
      </c>
      <c r="C1267" s="4" t="str">
        <f t="shared" si="247"/>
        <v>0</v>
      </c>
      <c r="D1267" s="3" t="str">
        <f t="shared" si="248"/>
        <v>项</v>
      </c>
      <c r="E1267" s="3" t="str">
        <f t="shared" si="249"/>
        <v>检验费</v>
      </c>
    </row>
    <row r="1268" customHeight="1" spans="1:5">
      <c r="A1268" s="5" t="str">
        <f>"血清天门冬氨酸基转移酶测定（免费）"</f>
        <v>血清天门冬氨酸基转移酶测定（免费）</v>
      </c>
      <c r="B1268" s="3" t="str">
        <f>"JM0013"</f>
        <v>JM0013</v>
      </c>
      <c r="C1268" s="4" t="str">
        <f t="shared" si="247"/>
        <v>0</v>
      </c>
      <c r="D1268" s="3" t="str">
        <f t="shared" si="248"/>
        <v>项</v>
      </c>
      <c r="E1268" s="3" t="str">
        <f t="shared" si="249"/>
        <v>检验费</v>
      </c>
    </row>
    <row r="1269" customHeight="1" spans="1:5">
      <c r="A1269" s="5" t="str">
        <f>"尿素测定（免费）"</f>
        <v>尿素测定（免费）</v>
      </c>
      <c r="B1269" s="3" t="str">
        <f>"JM0014"</f>
        <v>JM0014</v>
      </c>
      <c r="C1269" s="4" t="str">
        <f t="shared" si="247"/>
        <v>0</v>
      </c>
      <c r="D1269" s="3" t="str">
        <f t="shared" si="248"/>
        <v>项</v>
      </c>
      <c r="E1269" s="3" t="str">
        <f t="shared" si="249"/>
        <v>检验费</v>
      </c>
    </row>
    <row r="1270" customHeight="1" spans="1:5">
      <c r="A1270" s="5" t="str">
        <f>"肌酐测定（免费）"</f>
        <v>肌酐测定（免费）</v>
      </c>
      <c r="B1270" s="3" t="str">
        <f>"JM0015"</f>
        <v>JM0015</v>
      </c>
      <c r="C1270" s="4" t="str">
        <f t="shared" si="247"/>
        <v>0</v>
      </c>
      <c r="D1270" s="3" t="str">
        <f t="shared" si="248"/>
        <v>项</v>
      </c>
      <c r="E1270" s="3" t="str">
        <f t="shared" si="249"/>
        <v>检验费</v>
      </c>
    </row>
    <row r="1271" customHeight="1" spans="1:5">
      <c r="A1271" s="5" t="str">
        <f>"ABO血型鉴定"</f>
        <v>ABO血型鉴定</v>
      </c>
      <c r="B1271" s="3" t="str">
        <f>"JM0022"</f>
        <v>JM0022</v>
      </c>
      <c r="C1271" s="4" t="str">
        <f t="shared" si="247"/>
        <v>0</v>
      </c>
      <c r="D1271" s="3" t="str">
        <f t="shared" si="248"/>
        <v>项</v>
      </c>
      <c r="E1271" s="3" t="str">
        <f t="shared" si="249"/>
        <v>检验费</v>
      </c>
    </row>
    <row r="1272" customHeight="1" spans="1:5">
      <c r="A1272" s="5" t="str">
        <f>"梅毒螺旋体特异抗体测定（凝集法）"</f>
        <v>梅毒螺旋体特异抗体测定（凝集法）</v>
      </c>
      <c r="B1272" s="3" t="str">
        <f>"JM0031"</f>
        <v>JM0031</v>
      </c>
      <c r="C1272" s="4">
        <v>15</v>
      </c>
      <c r="D1272" s="3" t="str">
        <f t="shared" si="248"/>
        <v>项</v>
      </c>
      <c r="E1272" s="3" t="str">
        <f t="shared" si="249"/>
        <v>检验费</v>
      </c>
    </row>
    <row r="1273" customHeight="1" spans="1:5">
      <c r="A1273" s="5" t="str">
        <f>"乙型肝炎表面抗原测定(HBsAg)ELISA法（妇科减免）"</f>
        <v>乙型肝炎表面抗原测定(HBsAg)ELISA法（妇科减免）</v>
      </c>
      <c r="B1273" s="3" t="str">
        <f>"JM0032"</f>
        <v>JM0032</v>
      </c>
      <c r="C1273" s="4" t="str">
        <f t="shared" ref="C1273:C1278" si="250">"0"</f>
        <v>0</v>
      </c>
      <c r="D1273" s="3" t="str">
        <f t="shared" si="248"/>
        <v>项</v>
      </c>
      <c r="E1273" s="3" t="str">
        <f t="shared" si="249"/>
        <v>检验费</v>
      </c>
    </row>
    <row r="1274" customHeight="1" spans="1:5">
      <c r="A1274" s="5" t="str">
        <f>"乙型肝炎表面抗体测定(Anti-HBs)ELISA法（妇科减免）"</f>
        <v>乙型肝炎表面抗体测定(Anti-HBs)ELISA法（妇科减免）</v>
      </c>
      <c r="B1274" s="3" t="str">
        <f>"JM0033"</f>
        <v>JM0033</v>
      </c>
      <c r="C1274" s="4" t="str">
        <f t="shared" si="250"/>
        <v>0</v>
      </c>
      <c r="D1274" s="3" t="str">
        <f t="shared" si="248"/>
        <v>项</v>
      </c>
      <c r="E1274" s="3" t="str">
        <f t="shared" si="249"/>
        <v>检验费</v>
      </c>
    </row>
    <row r="1275" customHeight="1" spans="1:5">
      <c r="A1275" s="5" t="str">
        <f>"乙型肝炎e抗原测定(HBeAg)（免疫学法）（妇科减免）"</f>
        <v>乙型肝炎e抗原测定(HBeAg)（免疫学法）（妇科减免）</v>
      </c>
      <c r="B1275" s="3" t="str">
        <f>"JM0034"</f>
        <v>JM0034</v>
      </c>
      <c r="C1275" s="4" t="str">
        <f t="shared" si="250"/>
        <v>0</v>
      </c>
      <c r="D1275" s="3" t="str">
        <f t="shared" si="248"/>
        <v>项</v>
      </c>
      <c r="E1275" s="3" t="str">
        <f t="shared" si="249"/>
        <v>检验费</v>
      </c>
    </row>
    <row r="1276" customHeight="1" spans="1:5">
      <c r="A1276" s="5" t="str">
        <f>"乙型肝炎e抗体测定(Anti-HBe)免疫学法（妇科减免）"</f>
        <v>乙型肝炎e抗体测定(Anti-HBe)免疫学法（妇科减免）</v>
      </c>
      <c r="B1276" s="3" t="str">
        <f>"JM0035"</f>
        <v>JM0035</v>
      </c>
      <c r="C1276" s="4" t="str">
        <f t="shared" si="250"/>
        <v>0</v>
      </c>
      <c r="D1276" s="3" t="str">
        <f t="shared" si="248"/>
        <v>项</v>
      </c>
      <c r="E1276" s="3" t="str">
        <f t="shared" si="249"/>
        <v>检验费</v>
      </c>
    </row>
    <row r="1277" customHeight="1" spans="1:5">
      <c r="A1277" s="5" t="str">
        <f>"乙型肝炎核心抗体测定(IgM)(Anti-HBc)ELISA法（妇科减免）"</f>
        <v>乙型肝炎核心抗体测定(IgM)(Anti-HBc)ELISA法（妇科减免）</v>
      </c>
      <c r="B1277" s="3" t="str">
        <f>"JM0036"</f>
        <v>JM0036</v>
      </c>
      <c r="C1277" s="4" t="str">
        <f t="shared" si="250"/>
        <v>0</v>
      </c>
      <c r="D1277" s="3" t="str">
        <f t="shared" si="248"/>
        <v>项</v>
      </c>
      <c r="E1277" s="3" t="str">
        <f t="shared" si="249"/>
        <v>检验费</v>
      </c>
    </row>
    <row r="1278" customHeight="1" spans="1:5">
      <c r="A1278" s="5" t="str">
        <f>"尿液分析（妇儿保专用）"</f>
        <v>尿液分析（妇儿保专用）</v>
      </c>
      <c r="B1278" s="3" t="str">
        <f>"JM0055"</f>
        <v>JM0055</v>
      </c>
      <c r="C1278" s="4" t="str">
        <f t="shared" si="250"/>
        <v>0</v>
      </c>
      <c r="D1278" s="3" t="str">
        <f t="shared" si="248"/>
        <v>项</v>
      </c>
      <c r="E1278" s="3" t="str">
        <f t="shared" si="249"/>
        <v>检验费</v>
      </c>
    </row>
    <row r="1279" customHeight="1" spans="1:5">
      <c r="A1279" s="5" t="str">
        <f>"梅毒检测（妇保专用）"</f>
        <v>梅毒检测（妇保专用）</v>
      </c>
      <c r="B1279" s="3" t="str">
        <f>"JM0060"</f>
        <v>JM0060</v>
      </c>
      <c r="C1279" s="4">
        <v>15</v>
      </c>
      <c r="D1279" s="3" t="str">
        <f t="shared" si="248"/>
        <v>项</v>
      </c>
      <c r="E1279" s="3" t="str">
        <f t="shared" si="249"/>
        <v>检验费</v>
      </c>
    </row>
    <row r="1280" customHeight="1" spans="1:5">
      <c r="A1280" s="5" t="str">
        <f>"糖尿病个性服务包"</f>
        <v>糖尿病个性服务包</v>
      </c>
      <c r="B1280" s="3" t="str">
        <f>"JM0068"</f>
        <v>JM0068</v>
      </c>
      <c r="C1280" s="4">
        <v>60</v>
      </c>
      <c r="D1280" s="3" t="str">
        <f t="shared" si="248"/>
        <v>项</v>
      </c>
      <c r="E1280" s="3" t="str">
        <f>"治疗费"</f>
        <v>治疗费</v>
      </c>
    </row>
    <row r="1281" customHeight="1" spans="1:5">
      <c r="A1281" s="5" t="str">
        <f>"个性化家庭医生签约服务费"</f>
        <v>个性化家庭医生签约服务费</v>
      </c>
      <c r="B1281" s="3" t="str">
        <f>"JM0072"</f>
        <v>JM0072</v>
      </c>
      <c r="C1281" s="4">
        <v>15</v>
      </c>
      <c r="D1281" s="3" t="str">
        <f t="shared" si="248"/>
        <v>项</v>
      </c>
      <c r="E1281" s="3" t="str">
        <f>"签约服务费"</f>
        <v>签约服务费</v>
      </c>
    </row>
    <row r="1282" customHeight="1" spans="1:5">
      <c r="A1282" s="5" t="str">
        <f>"高血压个性服务包"</f>
        <v>高血压个性服务包</v>
      </c>
      <c r="B1282" s="3" t="str">
        <f>"JM0079"</f>
        <v>JM0079</v>
      </c>
      <c r="C1282" s="4">
        <v>60</v>
      </c>
      <c r="D1282" s="3" t="str">
        <f t="shared" si="248"/>
        <v>项</v>
      </c>
      <c r="E1282" s="3" t="str">
        <f>"治疗费"</f>
        <v>治疗费</v>
      </c>
    </row>
    <row r="1283" customHeight="1" spans="1:5">
      <c r="A1283" s="5" t="str">
        <f>"妇检"</f>
        <v>妇检</v>
      </c>
      <c r="B1283" s="3" t="str">
        <f>"JM0082"</f>
        <v>JM0082</v>
      </c>
      <c r="C1283" s="4">
        <v>8</v>
      </c>
      <c r="D1283" s="3">
        <v>1</v>
      </c>
      <c r="E1283" s="3" t="str">
        <f>"检查费"</f>
        <v>检查费</v>
      </c>
    </row>
    <row r="1284" customHeight="1" spans="1:5">
      <c r="A1284" s="5" t="str">
        <f>"液基薄层细胞制片术(TCT)（减免）"</f>
        <v>液基薄层细胞制片术(TCT)（减免）</v>
      </c>
      <c r="B1284" s="3" t="str">
        <f>"JM0091"</f>
        <v>JM0091</v>
      </c>
      <c r="C1284" s="4">
        <v>120</v>
      </c>
      <c r="D1284" s="3" t="str">
        <f>"次"</f>
        <v>次</v>
      </c>
      <c r="E1284" s="3" t="str">
        <f>"检验费"</f>
        <v>检验费</v>
      </c>
    </row>
    <row r="1285" customHeight="1" spans="1:5">
      <c r="A1285" s="5" t="str">
        <f>"人乳头瘤病毒(HPV)DNA检测（减免）"</f>
        <v>人乳头瘤病毒(HPV)DNA检测（减免）</v>
      </c>
      <c r="B1285" s="3" t="str">
        <f>"JM0092"</f>
        <v>JM0092</v>
      </c>
      <c r="C1285" s="4">
        <v>240</v>
      </c>
      <c r="D1285" s="3" t="str">
        <f>"次"</f>
        <v>次</v>
      </c>
      <c r="E1285" s="3" t="str">
        <f>"检验费"</f>
        <v>检验费</v>
      </c>
    </row>
    <row r="1286" customHeight="1" spans="1:5">
      <c r="A1286" s="5" t="str">
        <f>"成人流感疫苗"</f>
        <v>成人流感疫苗</v>
      </c>
      <c r="B1286" s="3" t="str">
        <f>"YM0002"</f>
        <v>YM0002</v>
      </c>
      <c r="C1286" s="4">
        <v>125</v>
      </c>
      <c r="D1286" s="3" t="str">
        <f t="shared" ref="D1286:D1290" si="251">"0.5ml"</f>
        <v>0.5ml</v>
      </c>
      <c r="E1286" s="3" t="str">
        <f t="shared" ref="E1286:E1330" si="252">"生物制品"</f>
        <v>生物制品</v>
      </c>
    </row>
    <row r="1287" customHeight="1" spans="1:5">
      <c r="A1287" s="5" t="str">
        <f>"13价肺炎疫苗"</f>
        <v>13价肺炎疫苗</v>
      </c>
      <c r="B1287" s="3" t="str">
        <f>"YM0005"</f>
        <v>YM0005</v>
      </c>
      <c r="C1287" s="4">
        <v>698</v>
      </c>
      <c r="D1287" s="3" t="str">
        <f t="shared" si="251"/>
        <v>0.5ml</v>
      </c>
      <c r="E1287" s="3" t="str">
        <f t="shared" si="252"/>
        <v>生物制品</v>
      </c>
    </row>
    <row r="1288" customHeight="1" spans="1:5">
      <c r="A1288" s="5" t="str">
        <f>"口服轮状病毒疫苗"</f>
        <v>口服轮状病毒疫苗</v>
      </c>
      <c r="B1288" s="3" t="str">
        <f>"YM0007"</f>
        <v>YM0007</v>
      </c>
      <c r="C1288" s="4">
        <v>172</v>
      </c>
      <c r="D1288" s="3" t="str">
        <f>"3ml"</f>
        <v>3ml</v>
      </c>
      <c r="E1288" s="3" t="str">
        <f t="shared" si="252"/>
        <v>生物制品</v>
      </c>
    </row>
    <row r="1289" customHeight="1" spans="1:5">
      <c r="A1289" s="5" t="str">
        <f>"手足口EV71二倍体疫苗"</f>
        <v>手足口EV71二倍体疫苗</v>
      </c>
      <c r="B1289" s="3" t="str">
        <f>"YM0009"</f>
        <v>YM0009</v>
      </c>
      <c r="C1289" s="4">
        <v>188</v>
      </c>
      <c r="D1289" s="3" t="str">
        <f t="shared" si="251"/>
        <v>0.5ml</v>
      </c>
      <c r="E1289" s="3" t="str">
        <f t="shared" si="252"/>
        <v>生物制品</v>
      </c>
    </row>
    <row r="1290" customHeight="1" spans="1:5">
      <c r="A1290" s="5" t="str">
        <f>"成人乙肝疫苗"</f>
        <v>成人乙肝疫苗</v>
      </c>
      <c r="B1290" s="3" t="str">
        <f>"YM0010"</f>
        <v>YM0010</v>
      </c>
      <c r="C1290" s="4">
        <v>88</v>
      </c>
      <c r="D1290" s="3" t="str">
        <f t="shared" si="251"/>
        <v>0.5ml</v>
      </c>
      <c r="E1290" s="3" t="str">
        <f t="shared" si="252"/>
        <v>生物制品</v>
      </c>
    </row>
    <row r="1291" customHeight="1" spans="1:5">
      <c r="A1291" s="5" t="str">
        <f>"乙肝疫苗（康泰）"</f>
        <v>乙肝疫苗（康泰）</v>
      </c>
      <c r="B1291" s="3" t="str">
        <f>"YM0017"</f>
        <v>YM0017</v>
      </c>
      <c r="C1291" s="4">
        <v>230</v>
      </c>
      <c r="D1291" s="3" t="str">
        <f>"60ug/1.0ml"</f>
        <v>60ug/1.0ml</v>
      </c>
      <c r="E1291" s="3" t="str">
        <f t="shared" si="252"/>
        <v>生物制品</v>
      </c>
    </row>
    <row r="1292" customHeight="1" spans="1:5">
      <c r="A1292" s="5" t="str">
        <f>"流脑A+C结合疫苗"</f>
        <v>流脑A+C结合疫苗</v>
      </c>
      <c r="B1292" s="3" t="str">
        <f>"YM0021"</f>
        <v>YM0021</v>
      </c>
      <c r="C1292" s="4">
        <v>120</v>
      </c>
      <c r="D1292" s="3" t="str">
        <f t="shared" ref="D1292:D1296" si="253">"0.5ml"</f>
        <v>0.5ml</v>
      </c>
      <c r="E1292" s="3" t="str">
        <f t="shared" si="252"/>
        <v>生物制品</v>
      </c>
    </row>
    <row r="1293" customHeight="1" spans="1:5">
      <c r="A1293" s="5" t="str">
        <f>"23价肺炎"</f>
        <v>23价肺炎</v>
      </c>
      <c r="B1293" s="3" t="str">
        <f>"YM0022"</f>
        <v>YM0022</v>
      </c>
      <c r="C1293" s="4">
        <v>182</v>
      </c>
      <c r="D1293" s="3" t="str">
        <f t="shared" si="253"/>
        <v>0.5ml</v>
      </c>
      <c r="E1293" s="3" t="str">
        <f t="shared" si="252"/>
        <v>生物制品</v>
      </c>
    </row>
    <row r="1294" customHeight="1" spans="1:5">
      <c r="A1294" s="5" t="str">
        <f>"B型流感嗜血杆菌Hib(安尔宝)"</f>
        <v>B型流感嗜血杆菌Hib(安尔宝)</v>
      </c>
      <c r="B1294" s="3" t="str">
        <f>"YM0024"</f>
        <v>YM0024</v>
      </c>
      <c r="C1294" s="4">
        <v>106</v>
      </c>
      <c r="D1294" s="3" t="str">
        <f t="shared" si="253"/>
        <v>0.5ml</v>
      </c>
      <c r="E1294" s="3" t="str">
        <f t="shared" si="252"/>
        <v>生物制品</v>
      </c>
    </row>
    <row r="1295" customHeight="1" spans="1:5">
      <c r="A1295" s="5" t="str">
        <f>"流脑A+C结合疫苗（二剂）(无锡罗益)"</f>
        <v>流脑A+C结合疫苗（二剂）(无锡罗益)</v>
      </c>
      <c r="B1295" s="3" t="str">
        <f>"YM0026"</f>
        <v>YM0026</v>
      </c>
      <c r="C1295" s="4">
        <v>118</v>
      </c>
      <c r="D1295" s="3" t="str">
        <f t="shared" si="253"/>
        <v>0.5ml</v>
      </c>
      <c r="E1295" s="3" t="str">
        <f t="shared" si="252"/>
        <v>生物制品</v>
      </c>
    </row>
    <row r="1296" customHeight="1" spans="1:5">
      <c r="A1296" s="5" t="str">
        <f>"四价流感疫苗"</f>
        <v>四价流感疫苗</v>
      </c>
      <c r="B1296" s="3" t="str">
        <f>"YM0027"</f>
        <v>YM0027</v>
      </c>
      <c r="C1296" s="4">
        <v>128</v>
      </c>
      <c r="D1296" s="3" t="str">
        <f t="shared" si="253"/>
        <v>0.5ml</v>
      </c>
      <c r="E1296" s="3" t="str">
        <f t="shared" si="252"/>
        <v>生物制品</v>
      </c>
    </row>
    <row r="1297" customHeight="1" spans="1:5">
      <c r="A1297" s="5" t="str">
        <f>"成人乙肝cho"</f>
        <v>成人乙肝cho</v>
      </c>
      <c r="B1297" s="3" t="str">
        <f>"YM0028"</f>
        <v>YM0028</v>
      </c>
      <c r="C1297" s="4">
        <v>90</v>
      </c>
      <c r="D1297" s="3" t="str">
        <f>"1ml"</f>
        <v>1ml</v>
      </c>
      <c r="E1297" s="3" t="str">
        <f t="shared" si="252"/>
        <v>生物制品</v>
      </c>
    </row>
    <row r="1298" customHeight="1" spans="1:5">
      <c r="A1298" s="5" t="str">
        <f>"灭活脊灰疫苗"</f>
        <v>灭活脊灰疫苗</v>
      </c>
      <c r="B1298" s="3" t="str">
        <f>"YM0029"</f>
        <v>YM0029</v>
      </c>
      <c r="C1298" s="4">
        <v>178</v>
      </c>
      <c r="D1298" s="3" t="str">
        <f t="shared" ref="D1298:D1301" si="254">"0.5ml"</f>
        <v>0.5ml</v>
      </c>
      <c r="E1298" s="3" t="str">
        <f t="shared" si="252"/>
        <v>生物制品</v>
      </c>
    </row>
    <row r="1299" customHeight="1" spans="1:5">
      <c r="A1299" s="5" t="str">
        <f>"九价人乳头瘤病毒疫苗"</f>
        <v>九价人乳头瘤病毒疫苗</v>
      </c>
      <c r="B1299" s="3" t="str">
        <f>"YM0032"</f>
        <v>YM0032</v>
      </c>
      <c r="C1299" s="4">
        <v>1298</v>
      </c>
      <c r="D1299" s="3" t="str">
        <f t="shared" si="254"/>
        <v>0.5ml</v>
      </c>
      <c r="E1299" s="3" t="str">
        <f t="shared" si="252"/>
        <v>生物制品</v>
      </c>
    </row>
    <row r="1300" customHeight="1" spans="1:5">
      <c r="A1300" s="5" t="str">
        <f>"23价肺炎疫苗(沃森)"</f>
        <v>23价肺炎疫苗(沃森)</v>
      </c>
      <c r="B1300" s="3" t="str">
        <f>"YM0034"</f>
        <v>YM0034</v>
      </c>
      <c r="C1300" s="4">
        <v>200</v>
      </c>
      <c r="D1300" s="3" t="str">
        <f t="shared" ref="D1300:D1309" si="255">"支"</f>
        <v>支</v>
      </c>
      <c r="E1300" s="3" t="str">
        <f t="shared" si="252"/>
        <v>生物制品</v>
      </c>
    </row>
    <row r="1301" customHeight="1" spans="1:5">
      <c r="A1301" s="5" t="str">
        <f>"流脑A+C结合疫苗"</f>
        <v>流脑A+C结合疫苗</v>
      </c>
      <c r="B1301" s="3" t="str">
        <f>"YM0036"</f>
        <v>YM0036</v>
      </c>
      <c r="C1301" s="4">
        <v>120</v>
      </c>
      <c r="D1301" s="3" t="str">
        <f t="shared" si="254"/>
        <v>0.5ml</v>
      </c>
      <c r="E1301" s="3" t="str">
        <f t="shared" si="252"/>
        <v>生物制品</v>
      </c>
    </row>
    <row r="1302" customHeight="1" spans="1:5">
      <c r="A1302" s="5" t="str">
        <f>"乙脑灭活疫苗(Vero)"</f>
        <v>乙脑灭活疫苗(Vero)</v>
      </c>
      <c r="B1302" s="3" t="str">
        <f>"YM0037"</f>
        <v>YM0037</v>
      </c>
      <c r="C1302" s="4">
        <v>98</v>
      </c>
      <c r="D1302" s="3" t="str">
        <f t="shared" si="255"/>
        <v>支</v>
      </c>
      <c r="E1302" s="3" t="str">
        <f t="shared" si="252"/>
        <v>生物制品</v>
      </c>
    </row>
    <row r="1303" customHeight="1" spans="1:5">
      <c r="A1303" s="5" t="str">
        <f>"五价重配轮状病毒活疫苗"</f>
        <v>五价重配轮状病毒活疫苗</v>
      </c>
      <c r="B1303" s="3" t="str">
        <f>"YM0041"</f>
        <v>YM0041</v>
      </c>
      <c r="C1303" s="4">
        <v>280</v>
      </c>
      <c r="D1303" s="3" t="str">
        <f t="shared" si="255"/>
        <v>支</v>
      </c>
      <c r="E1303" s="3" t="str">
        <f t="shared" si="252"/>
        <v>生物制品</v>
      </c>
    </row>
    <row r="1304" customHeight="1" spans="1:5">
      <c r="A1304" s="5" t="str">
        <f>"邦贝克"</f>
        <v>邦贝克</v>
      </c>
      <c r="B1304" s="3" t="str">
        <f>"YM0042"</f>
        <v>YM0042</v>
      </c>
      <c r="C1304" s="4">
        <v>105</v>
      </c>
      <c r="D1304" s="3" t="str">
        <f t="shared" si="255"/>
        <v>支</v>
      </c>
      <c r="E1304" s="3" t="str">
        <f t="shared" si="252"/>
        <v>生物制品</v>
      </c>
    </row>
    <row r="1305" customHeight="1" spans="1:5">
      <c r="A1305" s="5" t="str">
        <f>"流脑A+C+Y+W135疫苗"</f>
        <v>流脑A+C+Y+W135疫苗</v>
      </c>
      <c r="B1305" s="3" t="str">
        <f>"YM0043"</f>
        <v>YM0043</v>
      </c>
      <c r="C1305" s="4">
        <v>136</v>
      </c>
      <c r="D1305" s="3" t="str">
        <f t="shared" si="255"/>
        <v>支</v>
      </c>
      <c r="E1305" s="3" t="str">
        <f t="shared" si="252"/>
        <v>生物制品</v>
      </c>
    </row>
    <row r="1306" customHeight="1" spans="1:5">
      <c r="A1306" s="5" t="str">
        <f>"肠道病毒71型灭活疫苗(Vero细胞)"</f>
        <v>肠道病毒71型灭活疫苗(Vero细胞)</v>
      </c>
      <c r="B1306" s="3" t="str">
        <f>"YM0045"</f>
        <v>YM0045</v>
      </c>
      <c r="C1306" s="4">
        <v>168</v>
      </c>
      <c r="D1306" s="3" t="str">
        <f t="shared" si="255"/>
        <v>支</v>
      </c>
      <c r="E1306" s="3" t="str">
        <f t="shared" si="252"/>
        <v>生物制品</v>
      </c>
    </row>
    <row r="1307" customHeight="1" spans="1:5">
      <c r="A1307" s="5" t="str">
        <f>"潘太新"</f>
        <v>潘太新</v>
      </c>
      <c r="B1307" s="3" t="str">
        <f>"YM0047"</f>
        <v>YM0047</v>
      </c>
      <c r="C1307" s="4">
        <v>600</v>
      </c>
      <c r="D1307" s="3" t="str">
        <f t="shared" si="255"/>
        <v>支</v>
      </c>
      <c r="E1307" s="3" t="str">
        <f t="shared" si="252"/>
        <v>生物制品</v>
      </c>
    </row>
    <row r="1308" customHeight="1" spans="1:5">
      <c r="A1308" s="5" t="str">
        <f>"水痘(预填充)"</f>
        <v>水痘(预填充)</v>
      </c>
      <c r="B1308" s="3" t="str">
        <f>"YM0048"</f>
        <v>YM0048</v>
      </c>
      <c r="C1308" s="4">
        <v>136</v>
      </c>
      <c r="D1308" s="3" t="str">
        <f t="shared" si="255"/>
        <v>支</v>
      </c>
      <c r="E1308" s="3" t="str">
        <f t="shared" si="252"/>
        <v>生物制品</v>
      </c>
    </row>
    <row r="1309" customHeight="1" spans="1:5">
      <c r="A1309" s="5" t="str">
        <f>"ACHib"</f>
        <v>ACHib</v>
      </c>
      <c r="B1309" s="3" t="str">
        <f>"YM0049"</f>
        <v>YM0049</v>
      </c>
      <c r="C1309" s="4">
        <v>273</v>
      </c>
      <c r="D1309" s="3" t="str">
        <f t="shared" si="255"/>
        <v>支</v>
      </c>
      <c r="E1309" s="3" t="str">
        <f t="shared" si="252"/>
        <v>生物制品</v>
      </c>
    </row>
    <row r="1310" customHeight="1" spans="1:5">
      <c r="A1310" s="5" t="str">
        <f>"麻风腮"</f>
        <v>麻风腮</v>
      </c>
      <c r="B1310" s="3" t="str">
        <f>"YM0051"</f>
        <v>YM0051</v>
      </c>
      <c r="C1310" s="4">
        <v>76</v>
      </c>
      <c r="D1310" s="3" t="str">
        <f t="shared" ref="D1310:D1325" si="256">"0"</f>
        <v>0</v>
      </c>
      <c r="E1310" s="3" t="str">
        <f t="shared" si="252"/>
        <v>生物制品</v>
      </c>
    </row>
    <row r="1311" customHeight="1" spans="1:5">
      <c r="A1311" s="5" t="str">
        <f>"纽莫法"</f>
        <v>纽莫法</v>
      </c>
      <c r="B1311" s="3" t="str">
        <f>"YM0052"</f>
        <v>YM0052</v>
      </c>
      <c r="C1311" s="4">
        <v>204</v>
      </c>
      <c r="D1311" s="3" t="str">
        <f t="shared" si="256"/>
        <v>0</v>
      </c>
      <c r="E1311" s="3" t="str">
        <f t="shared" si="252"/>
        <v>生物制品</v>
      </c>
    </row>
    <row r="1312" customHeight="1" spans="1:5">
      <c r="A1312" s="5" t="str">
        <f>"安在时(儿童)"</f>
        <v>安在时(儿童)</v>
      </c>
      <c r="B1312" s="3" t="str">
        <f>"YM0053"</f>
        <v>YM0053</v>
      </c>
      <c r="C1312" s="4">
        <v>80</v>
      </c>
      <c r="D1312" s="3" t="str">
        <f>"10ug"</f>
        <v>10ug</v>
      </c>
      <c r="E1312" s="3" t="str">
        <f t="shared" si="252"/>
        <v>生物制品</v>
      </c>
    </row>
    <row r="1313" customHeight="1" spans="1:5">
      <c r="A1313" s="5" t="str">
        <f>"安在时(成人)"</f>
        <v>安在时(成人)</v>
      </c>
      <c r="B1313" s="3" t="str">
        <f>"YM0054"</f>
        <v>YM0054</v>
      </c>
      <c r="C1313" s="4">
        <v>86</v>
      </c>
      <c r="D1313" s="3" t="str">
        <f>"20ug"</f>
        <v>20ug</v>
      </c>
      <c r="E1313" s="3" t="str">
        <f t="shared" si="252"/>
        <v>生物制品</v>
      </c>
    </row>
    <row r="1314" customHeight="1" spans="1:5">
      <c r="A1314" s="5" t="str">
        <f>"吸附破伤风疫苗"</f>
        <v>吸附破伤风疫苗</v>
      </c>
      <c r="B1314" s="3" t="str">
        <f>"YM0055"</f>
        <v>YM0055</v>
      </c>
      <c r="C1314" s="4">
        <v>158</v>
      </c>
      <c r="D1314" s="3" t="str">
        <f t="shared" si="256"/>
        <v>0</v>
      </c>
      <c r="E1314" s="3" t="str">
        <f t="shared" si="252"/>
        <v>生物制品</v>
      </c>
    </row>
    <row r="1315" customHeight="1" spans="1:5">
      <c r="A1315" s="5" t="str">
        <f>"华兰三价流感"</f>
        <v>华兰三价流感</v>
      </c>
      <c r="B1315" s="3" t="str">
        <f>"YM0056"</f>
        <v>YM0056</v>
      </c>
      <c r="C1315" s="4">
        <v>25</v>
      </c>
      <c r="D1315" s="3" t="str">
        <f t="shared" si="256"/>
        <v>0</v>
      </c>
      <c r="E1315" s="3" t="str">
        <f t="shared" si="252"/>
        <v>生物制品</v>
      </c>
    </row>
    <row r="1316" customHeight="1" spans="1:5">
      <c r="A1316" s="5" t="str">
        <f>"适普利尔(儿童)"</f>
        <v>适普利尔(儿童)</v>
      </c>
      <c r="B1316" s="3" t="str">
        <f>"YM0057"</f>
        <v>YM0057</v>
      </c>
      <c r="C1316" s="4">
        <v>27</v>
      </c>
      <c r="D1316" s="3" t="str">
        <f t="shared" si="256"/>
        <v>0</v>
      </c>
      <c r="E1316" s="3" t="str">
        <f t="shared" si="252"/>
        <v>生物制品</v>
      </c>
    </row>
    <row r="1317" customHeight="1" spans="1:5">
      <c r="A1317" s="5" t="str">
        <f>"孩尔来福(成人)"</f>
        <v>孩尔来福(成人)</v>
      </c>
      <c r="B1317" s="3" t="str">
        <f>"YM0060"</f>
        <v>YM0060</v>
      </c>
      <c r="C1317" s="4">
        <v>42</v>
      </c>
      <c r="D1317" s="3" t="str">
        <f t="shared" si="256"/>
        <v>0</v>
      </c>
      <c r="E1317" s="3" t="str">
        <f t="shared" si="252"/>
        <v>生物制品</v>
      </c>
    </row>
    <row r="1318" customHeight="1" spans="1:5">
      <c r="A1318" s="5" t="str">
        <f>"爱宝维"</f>
        <v>爱宝维</v>
      </c>
      <c r="B1318" s="3" t="str">
        <f>"YM0061"</f>
        <v>YM0061</v>
      </c>
      <c r="C1318" s="4">
        <v>176</v>
      </c>
      <c r="D1318" s="3" t="str">
        <f t="shared" si="256"/>
        <v>0</v>
      </c>
      <c r="E1318" s="3" t="str">
        <f t="shared" si="252"/>
        <v>生物制品</v>
      </c>
    </row>
    <row r="1319" customHeight="1" spans="1:5">
      <c r="A1319" s="5" t="str">
        <f>"EV71(西林瓶)"</f>
        <v>EV71(西林瓶)</v>
      </c>
      <c r="B1319" s="3" t="str">
        <f>"YM0062"</f>
        <v>YM0062</v>
      </c>
      <c r="C1319" s="4">
        <v>168</v>
      </c>
      <c r="D1319" s="3" t="str">
        <f t="shared" si="256"/>
        <v>0</v>
      </c>
      <c r="E1319" s="3" t="str">
        <f t="shared" si="252"/>
        <v>生物制品</v>
      </c>
    </row>
    <row r="1320" customHeight="1" spans="1:5">
      <c r="A1320" s="5" t="str">
        <f>"美联吉泰"</f>
        <v>美联吉泰</v>
      </c>
      <c r="B1320" s="3" t="str">
        <f>"YM0063"</f>
        <v>YM0063</v>
      </c>
      <c r="C1320" s="4">
        <v>298</v>
      </c>
      <c r="D1320" s="3" t="str">
        <f t="shared" si="256"/>
        <v>0</v>
      </c>
      <c r="E1320" s="3" t="str">
        <f t="shared" si="252"/>
        <v>生物制品</v>
      </c>
    </row>
    <row r="1321" customHeight="1" spans="1:5">
      <c r="A1321" s="5" t="str">
        <f>"汉逊乙肝疫苗（儿童）"</f>
        <v>汉逊乙肝疫苗（儿童）</v>
      </c>
      <c r="B1321" s="3" t="str">
        <f>"YM0064"</f>
        <v>YM0064</v>
      </c>
      <c r="C1321" s="4">
        <v>47</v>
      </c>
      <c r="D1321" s="3" t="str">
        <f t="shared" si="256"/>
        <v>0</v>
      </c>
      <c r="E1321" s="3" t="str">
        <f t="shared" si="252"/>
        <v>生物制品</v>
      </c>
    </row>
    <row r="1322" customHeight="1" spans="1:5">
      <c r="A1322" s="5" t="str">
        <f>"康泰成人乙肝"</f>
        <v>康泰成人乙肝</v>
      </c>
      <c r="B1322" s="3" t="str">
        <f>"YM0065"</f>
        <v>YM0065</v>
      </c>
      <c r="C1322" s="4">
        <v>230</v>
      </c>
      <c r="D1322" s="3" t="str">
        <f t="shared" si="256"/>
        <v>0</v>
      </c>
      <c r="E1322" s="3" t="str">
        <f t="shared" si="252"/>
        <v>生物制品</v>
      </c>
    </row>
    <row r="1323" customHeight="1" spans="1:5">
      <c r="A1323" s="5" t="str">
        <f>"二类甲肝"</f>
        <v>二类甲肝</v>
      </c>
      <c r="B1323" s="3" t="str">
        <f>"YM0066"</f>
        <v>YM0066</v>
      </c>
      <c r="C1323" s="4">
        <v>105</v>
      </c>
      <c r="D1323" s="3" t="str">
        <f t="shared" si="256"/>
        <v>0</v>
      </c>
      <c r="E1323" s="3" t="str">
        <f t="shared" si="252"/>
        <v>生物制品</v>
      </c>
    </row>
    <row r="1324" customHeight="1" spans="1:5">
      <c r="A1324" s="5" t="str">
        <f>"可唯适"</f>
        <v>可唯适</v>
      </c>
      <c r="B1324" s="3" t="str">
        <f>"YM0067"</f>
        <v>YM0067</v>
      </c>
      <c r="C1324" s="4">
        <v>86</v>
      </c>
      <c r="D1324" s="3" t="str">
        <f t="shared" si="256"/>
        <v>0</v>
      </c>
      <c r="E1324" s="3" t="str">
        <f t="shared" si="252"/>
        <v>生物制品</v>
      </c>
    </row>
    <row r="1325" customHeight="1" spans="1:5">
      <c r="A1325" s="5" t="str">
        <f>"凡尔灵(儿童)"</f>
        <v>凡尔灵(儿童)</v>
      </c>
      <c r="B1325" s="3" t="str">
        <f>"YM0068"</f>
        <v>YM0068</v>
      </c>
      <c r="C1325" s="4">
        <v>29</v>
      </c>
      <c r="D1325" s="3" t="str">
        <f t="shared" si="256"/>
        <v>0</v>
      </c>
      <c r="E1325" s="3" t="str">
        <f t="shared" si="252"/>
        <v>生物制品</v>
      </c>
    </row>
    <row r="1326" customHeight="1" spans="1:5">
      <c r="A1326" s="5" t="str">
        <f>"乙肝汉逊酵母（预填充）"</f>
        <v>乙肝汉逊酵母（预填充）</v>
      </c>
      <c r="B1326" s="3" t="str">
        <f>"YM0077"</f>
        <v>YM0077</v>
      </c>
      <c r="C1326" s="4">
        <v>71</v>
      </c>
      <c r="D1326" s="3" t="str">
        <f>"10ug"</f>
        <v>10ug</v>
      </c>
      <c r="E1326" s="3" t="str">
        <f t="shared" si="252"/>
        <v>生物制品</v>
      </c>
    </row>
    <row r="1327" customHeight="1" spans="1:5">
      <c r="A1327" s="5" t="str">
        <f>"ACYW135流脑"</f>
        <v>ACYW135流脑</v>
      </c>
      <c r="B1327" s="3" t="str">
        <f>"YM0078"</f>
        <v>YM0078</v>
      </c>
      <c r="C1327" s="4">
        <v>65</v>
      </c>
      <c r="D1327" s="3" t="str">
        <f>"支"</f>
        <v>支</v>
      </c>
      <c r="E1327" s="3" t="str">
        <f t="shared" si="252"/>
        <v>生物制品</v>
      </c>
    </row>
    <row r="1328" customHeight="1" spans="1:5">
      <c r="A1328" s="5" t="str">
        <f>"Sabin灭活脊灰疫苗"</f>
        <v>Sabin灭活脊灰疫苗</v>
      </c>
      <c r="B1328" s="3" t="str">
        <f>"YM0080"</f>
        <v>YM0080</v>
      </c>
      <c r="C1328" s="4">
        <v>168</v>
      </c>
      <c r="D1328" s="3" t="str">
        <f>"支"</f>
        <v>支</v>
      </c>
      <c r="E1328" s="3" t="str">
        <f t="shared" si="252"/>
        <v>生物制品</v>
      </c>
    </row>
    <row r="1329" customHeight="1" spans="1:5">
      <c r="A1329" s="5" t="str">
        <f>"带状疱疹疫苗(CHO)"</f>
        <v>带状疱疹疫苗(CHO)</v>
      </c>
      <c r="B1329" s="3" t="str">
        <f>"YM0081"</f>
        <v>YM0081</v>
      </c>
      <c r="C1329" s="4">
        <v>1598</v>
      </c>
      <c r="D1329" s="3" t="str">
        <f>"0.5ml"</f>
        <v>0.5ml</v>
      </c>
      <c r="E1329" s="3" t="str">
        <f t="shared" si="252"/>
        <v>生物制品</v>
      </c>
    </row>
    <row r="1330" customHeight="1" spans="1:5">
      <c r="A1330" s="5" t="str">
        <f>"流感病毒裂解疫苗"</f>
        <v>流感病毒裂解疫苗</v>
      </c>
      <c r="B1330" s="3" t="str">
        <f>"YM0082"</f>
        <v>YM0082</v>
      </c>
      <c r="C1330" s="4">
        <v>65</v>
      </c>
      <c r="D1330" s="3" t="str">
        <f>"0.5ml"</f>
        <v>0.5ml</v>
      </c>
      <c r="E1330" s="3" t="str">
        <f t="shared" si="252"/>
        <v>生物制品</v>
      </c>
    </row>
    <row r="1331" customHeight="1" spans="1:5">
      <c r="A1331" s="5" t="str">
        <f>"预防接种费"</f>
        <v>预防接种费</v>
      </c>
      <c r="B1331" s="3" t="str">
        <f>"ZF0001"</f>
        <v>ZF0001</v>
      </c>
      <c r="C1331" s="4">
        <v>20</v>
      </c>
      <c r="D1331" s="3">
        <v>1</v>
      </c>
      <c r="E1331" s="3" t="str">
        <f>"预防接种费"</f>
        <v>预防接种费</v>
      </c>
    </row>
    <row r="1332" customHeight="1" spans="1:5">
      <c r="A1332" s="5" t="str">
        <f>"方型电极片"</f>
        <v>方型电极片</v>
      </c>
      <c r="B1332" s="3" t="str">
        <f>"ZF0014"</f>
        <v>ZF0014</v>
      </c>
      <c r="C1332" s="4">
        <v>25.2</v>
      </c>
      <c r="D1332" s="3" t="str">
        <f t="shared" ref="D1332:D1334" si="257">"对"</f>
        <v>对</v>
      </c>
      <c r="E1332" s="3" t="str">
        <f t="shared" ref="E1332:E1335" si="258">"材料费"</f>
        <v>材料费</v>
      </c>
    </row>
    <row r="1333" customHeight="1" spans="1:5">
      <c r="A1333" s="5" t="str">
        <f>"乳房电极片"</f>
        <v>乳房电极片</v>
      </c>
      <c r="B1333" s="3" t="str">
        <f>"ZF0015"</f>
        <v>ZF0015</v>
      </c>
      <c r="C1333" s="4">
        <v>52.5</v>
      </c>
      <c r="D1333" s="3" t="str">
        <f t="shared" si="257"/>
        <v>对</v>
      </c>
      <c r="E1333" s="3" t="str">
        <f t="shared" si="258"/>
        <v>材料费</v>
      </c>
    </row>
    <row r="1334" customHeight="1" spans="1:5">
      <c r="A1334" s="5" t="str">
        <f>"塑形电极片"</f>
        <v>塑形电极片</v>
      </c>
      <c r="B1334" s="3" t="str">
        <f>"ZF0016"</f>
        <v>ZF0016</v>
      </c>
      <c r="C1334" s="4">
        <v>52.5</v>
      </c>
      <c r="D1334" s="3" t="str">
        <f t="shared" si="257"/>
        <v>对</v>
      </c>
      <c r="E1334" s="3" t="str">
        <f t="shared" si="258"/>
        <v>材料费</v>
      </c>
    </row>
    <row r="1335" customHeight="1" spans="1:5">
      <c r="A1335" s="5" t="str">
        <f>"一次性使用阴道电极"</f>
        <v>一次性使用阴道电极</v>
      </c>
      <c r="B1335" s="3" t="str">
        <f>"ZF0017"</f>
        <v>ZF0017</v>
      </c>
      <c r="C1335" s="4">
        <v>52.5</v>
      </c>
      <c r="D1335" s="3" t="str">
        <f t="shared" ref="D1335:D1337" si="259">"个"</f>
        <v>个</v>
      </c>
      <c r="E1335" s="3" t="str">
        <f t="shared" si="258"/>
        <v>材料费</v>
      </c>
    </row>
    <row r="1336" customHeight="1" spans="1:5">
      <c r="A1336" s="5" t="str">
        <f>"重复使用阴道电极"</f>
        <v>重复使用阴道电极</v>
      </c>
      <c r="B1336" s="3" t="str">
        <f>"ZF0018"</f>
        <v>ZF0018</v>
      </c>
      <c r="C1336" s="4">
        <v>231</v>
      </c>
      <c r="D1336" s="3" t="str">
        <f t="shared" si="259"/>
        <v>个</v>
      </c>
      <c r="E1336" s="3" t="str">
        <f>"治疗费(含材料费)"</f>
        <v>治疗费(含材料费)</v>
      </c>
    </row>
    <row r="1337" customHeight="1" spans="1:5">
      <c r="A1337" s="5" t="str">
        <f>"盆底康复器"</f>
        <v>盆底康复器</v>
      </c>
      <c r="B1337" s="3" t="str">
        <f>"ZF0019"</f>
        <v>ZF0019</v>
      </c>
      <c r="C1337" s="4">
        <v>294</v>
      </c>
      <c r="D1337" s="3" t="str">
        <f t="shared" si="259"/>
        <v>个</v>
      </c>
      <c r="E1337" s="3" t="str">
        <f t="shared" ref="E1337:E1343" si="260">"材料费"</f>
        <v>材料费</v>
      </c>
    </row>
    <row r="1338" customHeight="1" spans="1:5">
      <c r="A1338" s="5" t="str">
        <f>"润滑剂"</f>
        <v>润滑剂</v>
      </c>
      <c r="B1338" s="3" t="str">
        <f>"ZF0020"</f>
        <v>ZF0020</v>
      </c>
      <c r="C1338" s="4">
        <v>36.8</v>
      </c>
      <c r="D1338" s="3" t="str">
        <f>"支"</f>
        <v>支</v>
      </c>
      <c r="E1338" s="3" t="str">
        <f t="shared" si="260"/>
        <v>材料费</v>
      </c>
    </row>
    <row r="1339" customHeight="1" spans="1:5">
      <c r="A1339" s="5" t="str">
        <f>"儿童体检费"</f>
        <v>儿童体检费</v>
      </c>
      <c r="B1339" s="3" t="str">
        <f>"ZF0049"</f>
        <v>ZF0049</v>
      </c>
      <c r="C1339" s="4">
        <v>10</v>
      </c>
      <c r="D1339" s="3" t="str">
        <f>"项"</f>
        <v>项</v>
      </c>
      <c r="E1339" s="3" t="str">
        <f>"检查费"</f>
        <v>检查费</v>
      </c>
    </row>
    <row r="1340" customHeight="1" spans="1:5">
      <c r="A1340" s="5" t="str">
        <f>"欧姆龙简易雾化吸入器"</f>
        <v>欧姆龙简易雾化吸入器</v>
      </c>
      <c r="B1340" s="3" t="str">
        <f>"ZF0088"</f>
        <v>ZF0088</v>
      </c>
      <c r="C1340" s="4">
        <v>30.9</v>
      </c>
      <c r="D1340" s="3" t="str">
        <f>"套"</f>
        <v>套</v>
      </c>
      <c r="E1340" s="3" t="str">
        <f t="shared" si="260"/>
        <v>材料费</v>
      </c>
    </row>
    <row r="1341" customHeight="1" spans="1:5">
      <c r="A1341" s="5" t="str">
        <f>"一次性换药包"</f>
        <v>一次性换药包</v>
      </c>
      <c r="B1341" s="3" t="str">
        <f>"ZF0103"</f>
        <v>ZF0103</v>
      </c>
      <c r="C1341" s="4">
        <v>5.48</v>
      </c>
      <c r="D1341" s="3" t="str">
        <f>"包"</f>
        <v>包</v>
      </c>
      <c r="E1341" s="3" t="str">
        <f t="shared" si="260"/>
        <v>材料费</v>
      </c>
    </row>
    <row r="1342" customHeight="1" spans="1:5">
      <c r="A1342" s="5" t="str">
        <f>"一次性使用医用垫单（加厚）40cm*50cm"</f>
        <v>一次性使用医用垫单（加厚）40cm*50cm</v>
      </c>
      <c r="B1342" s="3" t="str">
        <f>"ZF0138"</f>
        <v>ZF0138</v>
      </c>
      <c r="C1342" s="4" t="str">
        <f>"0.54"</f>
        <v>0.54</v>
      </c>
      <c r="D1342" s="3" t="str">
        <f>"张"</f>
        <v>张</v>
      </c>
      <c r="E1342" s="3" t="str">
        <f t="shared" si="260"/>
        <v>材料费</v>
      </c>
    </row>
    <row r="1343" customHeight="1" spans="1:5">
      <c r="A1343" s="5" t="str">
        <f>"一次性使用医用垫单80cm*150cm"</f>
        <v>一次性使用医用垫单80cm*150cm</v>
      </c>
      <c r="B1343" s="3" t="str">
        <f>"ZF0139"</f>
        <v>ZF0139</v>
      </c>
      <c r="C1343" s="4">
        <v>2.69</v>
      </c>
      <c r="D1343" s="3" t="str">
        <f>"张"</f>
        <v>张</v>
      </c>
      <c r="E1343" s="3" t="str">
        <f t="shared" si="260"/>
        <v>材料费</v>
      </c>
    </row>
    <row r="1344" customHeight="1" spans="1:5">
      <c r="A1344" s="5" t="str">
        <f>"省级离休干部签约费"</f>
        <v>省级离休干部签约费</v>
      </c>
      <c r="B1344" s="3" t="str">
        <f>"ZF0210"</f>
        <v>ZF0210</v>
      </c>
      <c r="C1344" s="4">
        <v>1200</v>
      </c>
      <c r="D1344" s="3" t="str">
        <f>"项"</f>
        <v>项</v>
      </c>
      <c r="E1344" s="3" t="str">
        <f>"签约服务费"</f>
        <v>签约服务费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端木欧阳</cp:lastModifiedBy>
  <dcterms:created xsi:type="dcterms:W3CDTF">2020-11-19T05:15:00Z</dcterms:created>
  <dcterms:modified xsi:type="dcterms:W3CDTF">2020-11-20T02:22:43Z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