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幕府收费项目（2024）" sheetId="1" r:id="rId1"/>
  </sheets>
  <definedNames>
    <definedName name="_xlnm._FilterDatabase" localSheetId="0" hidden="1">'幕府收费项目（2024）'!$E$1:$E$1687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<sst xmlns="http://schemas.openxmlformats.org/spreadsheetml/2006/main" count="16" uniqueCount="16">
  <si>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项目名称</t>
  </si>
  <si>
    <t>单价</t>
  </si>
  <si>
    <t>规格</t>
  </si>
  <si>
    <t>单位</t>
  </si>
  <si>
    <t>核算科目</t>
  </si>
  <si>
    <t>磁共振平扫（场强≧0.5T,﹤1.5T）(中腹部)</t>
  </si>
  <si>
    <t>磁共振平扫（场强≧0.5T,﹤1.5T）(盆腔)</t>
  </si>
  <si>
    <t>磁共振平扫（场强≧0.5T,﹤1.5T）(心脏)</t>
  </si>
  <si>
    <t>磁共振平扫（场强≧0.5T,﹤1.5T）(颅脑)</t>
  </si>
  <si>
    <t>磁共振平扫（场强≧1.5T,﹤3.0T）(颅脑)</t>
  </si>
  <si>
    <t>磁共振平扫（场强≧0.5T,﹤1.5T）(胸部)</t>
  </si>
  <si>
    <t>磁共振平扫（场强≧0.5T,﹤1.5T）(腰椎)</t>
  </si>
  <si>
    <t>磁共振平扫（场强≧0.5T,﹤1.5T）(颈椎)</t>
  </si>
  <si>
    <t>磁共振平扫（场强≧0.5T,﹤1.5T）(胸椎)</t>
  </si>
  <si>
    <t>磁共振平扫（场强≧0.5T,﹤1.5T）(踝关节)</t>
  </si>
  <si>
    <t>磁共振平扫（场强≧1.5T,﹤3.0T）(腰椎)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</si>
</sst>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7"/>
  <sheetViews>
    <sheetView tabSelected="1" zoomScaleSheetLayoutView="60" topLeftCell="A1663" workbookViewId="0">
      <selection activeCell="L14" sqref="L14"/>
    </sheetView>
  </sheetViews>
  <sheetFormatPr defaultColWidth="9" defaultRowHeight="13.5" outlineLevelCol="4"/>
  <cols>
    <col min="1" max="1" width="39" style="1" customWidth="1"/>
    <col min="2" max="2" width="18.125" style="1" customWidth="1"/>
    <col min="3" max="3" width="14.375" style="1" customWidth="1"/>
    <col min="4" max="4" width="23.125" style="1" customWidth="1"/>
    <col min="5" max="5" width="39.875" style="1" customWidth="1"/>
    <col min="6" max="16384" width="9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"住院诊查费"</f>
        <v>住院诊查费</v>
      </c>
      <c r="B2" s="1">
        <v>7</v>
      </c>
      <c r="C2" s="1" t="str">
        <f>"日"</f>
        <v>日</v>
      </c>
      <c r="D2" s="1" t="str">
        <f>"日"</f>
        <v>日</v>
      </c>
      <c r="E2" s="1" t="str">
        <f>"诊查费"</f>
        <v>诊查费</v>
      </c>
    </row>
    <row r="3" spans="1:5">
      <c r="A3" s="1" t="str">
        <f>"方便门诊费"</f>
        <v>方便门诊费</v>
      </c>
      <c r="B3" s="1">
        <v>1</v>
      </c>
      <c r="C3" s="1" t="str">
        <f t="shared" ref="C3:C10" si="0">"次"</f>
        <v>次</v>
      </c>
      <c r="D3" s="1" t="str">
        <f>"每次"</f>
        <v>每次</v>
      </c>
      <c r="E3" s="1" t="str">
        <f>"诊查费"</f>
        <v>诊查费</v>
      </c>
    </row>
    <row r="4" spans="1:5">
      <c r="A4" s="1" t="str">
        <f>"急诊监护费"</f>
        <v>急诊监护费</v>
      </c>
      <c r="B4" s="1">
        <v>130</v>
      </c>
      <c r="C4" s="1" t="str">
        <f>"日"</f>
        <v>日</v>
      </c>
      <c r="D4" s="1" t="str">
        <f>"日"</f>
        <v>日</v>
      </c>
      <c r="E4" s="1" t="str">
        <f>"监护费"</f>
        <v>监护费</v>
      </c>
    </row>
    <row r="5" spans="1:5">
      <c r="A5" s="1" t="str">
        <f>"院前急救费"</f>
        <v>院前急救费</v>
      </c>
      <c r="B5" s="1">
        <v>46</v>
      </c>
      <c r="C5" s="1" t="str">
        <f t="shared" si="0"/>
        <v>次</v>
      </c>
      <c r="D5" s="1" t="str">
        <f t="shared" ref="D5:D10" si="1">"次"</f>
        <v>次</v>
      </c>
      <c r="E5" s="1" t="str">
        <f>"治疗费"</f>
        <v>治疗费</v>
      </c>
    </row>
    <row r="6" spans="1:5">
      <c r="A6" s="1" t="str">
        <f>"体检费"</f>
        <v>体检费</v>
      </c>
      <c r="B6" s="1">
        <v>15</v>
      </c>
      <c r="C6" s="1" t="str">
        <f>"项"</f>
        <v>项</v>
      </c>
      <c r="D6" s="1" t="str">
        <f>"每次"</f>
        <v>每次</v>
      </c>
      <c r="E6" s="1" t="str">
        <f t="shared" ref="E6:E9" si="2">"体检费"</f>
        <v>体检费</v>
      </c>
    </row>
    <row r="7" spans="1:5">
      <c r="A7" s="1" t="str">
        <f>"体检"</f>
        <v>体检</v>
      </c>
      <c r="B7" s="1">
        <v>54</v>
      </c>
      <c r="C7" s="1" t="str">
        <f t="shared" si="0"/>
        <v>次</v>
      </c>
      <c r="D7" s="1" t="str">
        <f t="shared" si="1"/>
        <v>次</v>
      </c>
      <c r="E7" s="1" t="str">
        <f t="shared" si="2"/>
        <v>体检费</v>
      </c>
    </row>
    <row r="8" spans="1:5">
      <c r="A8" s="1" t="str">
        <f>"驾驶员体检"</f>
        <v>驾驶员体检</v>
      </c>
      <c r="B8" s="1">
        <v>8</v>
      </c>
      <c r="C8" s="1" t="str">
        <f t="shared" si="0"/>
        <v>次</v>
      </c>
      <c r="D8" s="1" t="str">
        <f t="shared" si="1"/>
        <v>次</v>
      </c>
      <c r="E8" s="1" t="str">
        <f t="shared" si="2"/>
        <v>体检费</v>
      </c>
    </row>
    <row r="9" spans="1:5">
      <c r="A9" s="1" t="str">
        <f>"中小学生体检"</f>
        <v>中小学生体检</v>
      </c>
      <c r="B9" s="1" t="str">
        <f>"0"</f>
        <v>0</v>
      </c>
      <c r="C9" s="1" t="str">
        <f t="shared" si="0"/>
        <v>次</v>
      </c>
      <c r="D9" s="1" t="str">
        <f t="shared" si="1"/>
        <v>次</v>
      </c>
      <c r="E9" s="1" t="str">
        <f t="shared" si="2"/>
        <v>体检费</v>
      </c>
    </row>
    <row r="10" spans="1:5">
      <c r="A10" s="1" t="str">
        <f>"心肺复苏术"</f>
        <v>心肺复苏术</v>
      </c>
      <c r="B10" s="1">
        <v>130</v>
      </c>
      <c r="C10" s="1" t="str">
        <f t="shared" si="0"/>
        <v>次</v>
      </c>
      <c r="D10" s="1" t="str">
        <f t="shared" si="1"/>
        <v>次</v>
      </c>
      <c r="E10" s="1" t="str">
        <f>"手术费"</f>
        <v>手术费</v>
      </c>
    </row>
    <row r="11" spans="1:5">
      <c r="A11" s="1" t="str">
        <f>"多人间床位费"</f>
        <v>多人间床位费</v>
      </c>
      <c r="B11" s="1">
        <v>30</v>
      </c>
      <c r="C11" s="1" t="str">
        <f t="shared" ref="C11:C13" si="3">"日"</f>
        <v>日</v>
      </c>
      <c r="D11" s="1" t="str">
        <f t="shared" ref="D11:D13" si="4">"日"</f>
        <v>日</v>
      </c>
      <c r="E11" s="1" t="str">
        <f t="shared" ref="E11:E15" si="5">"床位费"</f>
        <v>床位费</v>
      </c>
    </row>
    <row r="12" spans="1:5">
      <c r="A12" s="1" t="str">
        <f>"三人间床位费"</f>
        <v>三人间床位费</v>
      </c>
      <c r="B12" s="1">
        <v>40</v>
      </c>
      <c r="C12" s="1" t="str">
        <f t="shared" si="3"/>
        <v>日</v>
      </c>
      <c r="D12" s="1" t="str">
        <f t="shared" si="4"/>
        <v>日</v>
      </c>
      <c r="E12" s="1" t="str">
        <f t="shared" si="5"/>
        <v>床位费</v>
      </c>
    </row>
    <row r="13" spans="1:5">
      <c r="A13" s="1" t="str">
        <f>"双人间床位费A2"</f>
        <v>双人间床位费A2</v>
      </c>
      <c r="B13" s="1">
        <v>55</v>
      </c>
      <c r="C13" s="1" t="str">
        <f t="shared" si="3"/>
        <v>日</v>
      </c>
      <c r="D13" s="1" t="str">
        <f t="shared" si="4"/>
        <v>日</v>
      </c>
      <c r="E13" s="1" t="str">
        <f t="shared" si="5"/>
        <v>床位费</v>
      </c>
    </row>
    <row r="14" spans="1:5">
      <c r="A14" s="1" t="str">
        <f>"陪护床"</f>
        <v>陪护床</v>
      </c>
      <c r="B14" s="1">
        <v>10</v>
      </c>
      <c r="C14" s="1" t="str">
        <f>"张"</f>
        <v>张</v>
      </c>
      <c r="D14" s="1" t="str">
        <f>"天"</f>
        <v>天</v>
      </c>
      <c r="E14" s="1" t="str">
        <f t="shared" si="5"/>
        <v>床位费</v>
      </c>
    </row>
    <row r="15" spans="1:5">
      <c r="A15" s="1" t="str">
        <f>"急诊观察床位费"</f>
        <v>急诊观察床位费</v>
      </c>
      <c r="B15" s="1">
        <v>15</v>
      </c>
      <c r="C15" s="1" t="str">
        <f>"日"</f>
        <v>日</v>
      </c>
      <c r="D15" s="1" t="str">
        <f>"日"</f>
        <v>日</v>
      </c>
      <c r="E15" s="1" t="str">
        <f t="shared" si="5"/>
        <v>床位费</v>
      </c>
    </row>
    <row r="16" spans="1:5">
      <c r="A16" s="1" t="str">
        <f>"院际会诊费(本地)"</f>
        <v>院际会诊费(本地)</v>
      </c>
      <c r="B16" s="1">
        <v>130</v>
      </c>
      <c r="C16" s="1" t="str">
        <f>"项"</f>
        <v>项</v>
      </c>
      <c r="D16" s="1" t="str">
        <f>"次"</f>
        <v>次</v>
      </c>
      <c r="E16" s="1" t="str">
        <f>"会诊费"</f>
        <v>会诊费</v>
      </c>
    </row>
    <row r="17" spans="1:5">
      <c r="A17" s="1" t="str">
        <f>"院际会诊-外埠"</f>
        <v>院际会诊-外埠</v>
      </c>
      <c r="B17" s="1">
        <v>260</v>
      </c>
      <c r="C17" s="1" t="str">
        <f>"次"</f>
        <v>次</v>
      </c>
      <c r="D17" s="1" t="str">
        <f>"次"</f>
        <v>次</v>
      </c>
      <c r="E17" s="1" t="str">
        <f>"会诊费"</f>
        <v>会诊费</v>
      </c>
    </row>
    <row r="18" spans="1:5">
      <c r="A18" s="1" t="str">
        <f>"特级护理"</f>
        <v>特级护理</v>
      </c>
      <c r="B18" s="1">
        <v>4.4</v>
      </c>
      <c r="C18" s="1" t="str">
        <f>"小时"</f>
        <v>小时</v>
      </c>
      <c r="D18" s="1" t="str">
        <f>"小时"</f>
        <v>小时</v>
      </c>
      <c r="E18" s="1" t="str">
        <f t="shared" ref="E18:E26" si="6">"一般护理费"</f>
        <v>一般护理费</v>
      </c>
    </row>
    <row r="19" spans="1:5">
      <c r="A19" s="1" t="str">
        <f>"一级护理"</f>
        <v>一级护理</v>
      </c>
      <c r="B19" s="1">
        <v>35</v>
      </c>
      <c r="C19" s="1">
        <v>1</v>
      </c>
      <c r="D19" s="1" t="str">
        <f>"天"</f>
        <v>天</v>
      </c>
      <c r="E19" s="1" t="str">
        <f t="shared" si="6"/>
        <v>一般护理费</v>
      </c>
    </row>
    <row r="20" spans="1:5">
      <c r="A20" s="1" t="str">
        <f>"二级护理"</f>
        <v>二级护理</v>
      </c>
      <c r="B20" s="1">
        <v>25</v>
      </c>
      <c r="C20" s="1" t="str">
        <f t="shared" ref="C20:C22" si="7">"日"</f>
        <v>日</v>
      </c>
      <c r="D20" s="1" t="str">
        <f t="shared" ref="D20:D22" si="8">"日"</f>
        <v>日</v>
      </c>
      <c r="E20" s="1" t="str">
        <f t="shared" si="6"/>
        <v>一般护理费</v>
      </c>
    </row>
    <row r="21" spans="1:5">
      <c r="A21" s="1" t="str">
        <f>"三级护理"</f>
        <v>三级护理</v>
      </c>
      <c r="B21" s="1">
        <v>18</v>
      </c>
      <c r="C21" s="1" t="str">
        <f t="shared" si="7"/>
        <v>日</v>
      </c>
      <c r="D21" s="1" t="str">
        <f t="shared" si="8"/>
        <v>日</v>
      </c>
      <c r="E21" s="1" t="str">
        <f t="shared" si="6"/>
        <v>一般护理费</v>
      </c>
    </row>
    <row r="22" spans="1:5">
      <c r="A22" s="1" t="str">
        <f>"新生儿护理"</f>
        <v>新生儿护理</v>
      </c>
      <c r="B22" s="1">
        <v>33</v>
      </c>
      <c r="C22" s="1" t="str">
        <f t="shared" si="7"/>
        <v>日</v>
      </c>
      <c r="D22" s="1" t="str">
        <f t="shared" si="8"/>
        <v>日</v>
      </c>
      <c r="E22" s="1" t="str">
        <f t="shared" si="6"/>
        <v>一般护理费</v>
      </c>
    </row>
    <row r="23" spans="1:5">
      <c r="A23" s="1" t="str">
        <f>"新生儿特殊护理"</f>
        <v>新生儿特殊护理</v>
      </c>
      <c r="B23" s="1">
        <v>5.5</v>
      </c>
      <c r="C23" s="1" t="str">
        <f>"次"</f>
        <v>次</v>
      </c>
      <c r="D23" s="1" t="str">
        <f>"次"</f>
        <v>次</v>
      </c>
      <c r="E23" s="1" t="str">
        <f t="shared" si="6"/>
        <v>一般护理费</v>
      </c>
    </row>
    <row r="24" spans="1:5">
      <c r="A24" s="1" t="str">
        <f>"气管切开护理"</f>
        <v>气管切开护理</v>
      </c>
      <c r="B24" s="1">
        <v>48</v>
      </c>
      <c r="C24" s="1" t="str">
        <f>"日"</f>
        <v>日</v>
      </c>
      <c r="D24" s="1" t="str">
        <f>"日"</f>
        <v>日</v>
      </c>
      <c r="E24" s="1" t="str">
        <f t="shared" si="6"/>
        <v>一般护理费</v>
      </c>
    </row>
    <row r="25" spans="1:5">
      <c r="A25" s="1" t="str">
        <f>"吸痰护理"</f>
        <v>吸痰护理</v>
      </c>
      <c r="B25" s="1">
        <v>20</v>
      </c>
      <c r="C25" s="1" t="str">
        <f>"日"</f>
        <v>日</v>
      </c>
      <c r="D25" s="1" t="str">
        <f>"日"</f>
        <v>日</v>
      </c>
      <c r="E25" s="1" t="str">
        <f t="shared" si="6"/>
        <v>一般护理费</v>
      </c>
    </row>
    <row r="26" spans="1:5">
      <c r="A26" s="1" t="str">
        <f>"造瘘护理"</f>
        <v>造瘘护理</v>
      </c>
      <c r="B26" s="1">
        <v>8</v>
      </c>
      <c r="C26" s="1" t="str">
        <f>"次"</f>
        <v>次</v>
      </c>
      <c r="D26" s="1" t="str">
        <f>"次"</f>
        <v>次</v>
      </c>
      <c r="E26" s="1" t="str">
        <f t="shared" si="6"/>
        <v>一般护理费</v>
      </c>
    </row>
    <row r="27" spans="1:5">
      <c r="A27" s="1" t="str">
        <f>"动静脉置管护理"</f>
        <v>动静脉置管护理</v>
      </c>
      <c r="B27" s="1">
        <v>6.5</v>
      </c>
      <c r="C27" s="1" t="str">
        <f>"次"</f>
        <v>次</v>
      </c>
      <c r="D27" s="1" t="str">
        <f>"次"</f>
        <v>次</v>
      </c>
      <c r="E27" s="1" t="str">
        <f>"一般护理费"</f>
        <v>一般护理费</v>
      </c>
    </row>
    <row r="28" spans="1:5">
      <c r="A28" s="1" t="str">
        <f>"机械辅助排痰"</f>
        <v>机械辅助排痰</v>
      </c>
      <c r="B28" s="1">
        <v>50</v>
      </c>
      <c r="C28" s="1" t="str">
        <f t="shared" ref="C28:C31" si="9">"日"</f>
        <v>日</v>
      </c>
      <c r="D28" s="1" t="str">
        <f t="shared" ref="D28:D31" si="10">"日"</f>
        <v>日</v>
      </c>
      <c r="E28" s="1" t="str">
        <f>"一般护理费"</f>
        <v>一般护理费</v>
      </c>
    </row>
    <row r="29" spans="1:5">
      <c r="A29" s="1" t="str">
        <f>"大抢救"</f>
        <v>大抢救</v>
      </c>
      <c r="B29" s="1">
        <v>130</v>
      </c>
      <c r="C29" s="1" t="str">
        <f t="shared" si="9"/>
        <v>日</v>
      </c>
      <c r="D29" s="1" t="str">
        <f t="shared" si="10"/>
        <v>日</v>
      </c>
      <c r="E29" s="1" t="str">
        <f t="shared" ref="E29:E31" si="11">"治疗费"</f>
        <v>治疗费</v>
      </c>
    </row>
    <row r="30" spans="1:5">
      <c r="A30" s="1" t="str">
        <f>"中抢救"</f>
        <v>中抢救</v>
      </c>
      <c r="B30" s="1">
        <v>65</v>
      </c>
      <c r="C30" s="1" t="str">
        <f t="shared" si="9"/>
        <v>日</v>
      </c>
      <c r="D30" s="1" t="str">
        <f t="shared" si="10"/>
        <v>日</v>
      </c>
      <c r="E30" s="1" t="str">
        <f t="shared" si="11"/>
        <v>治疗费</v>
      </c>
    </row>
    <row r="31" spans="1:5">
      <c r="A31" s="1" t="str">
        <f>"小抢救"</f>
        <v>小抢救</v>
      </c>
      <c r="B31" s="1">
        <v>39</v>
      </c>
      <c r="C31" s="1" t="str">
        <f t="shared" si="9"/>
        <v>日</v>
      </c>
      <c r="D31" s="1" t="str">
        <f t="shared" si="10"/>
        <v>日</v>
      </c>
      <c r="E31" s="1" t="str">
        <f t="shared" si="11"/>
        <v>治疗费</v>
      </c>
    </row>
    <row r="32" spans="1:5">
      <c r="A32" s="1" t="str">
        <f>"氧气吸入"</f>
        <v>氧气吸入</v>
      </c>
      <c r="B32" s="1">
        <v>4</v>
      </c>
      <c r="C32" s="1" t="str">
        <f>"次"</f>
        <v>次</v>
      </c>
      <c r="D32" s="1" t="str">
        <f>"小时"</f>
        <v>小时</v>
      </c>
      <c r="E32" s="1" t="str">
        <f>"输氧费"</f>
        <v>输氧费</v>
      </c>
    </row>
    <row r="33" spans="1:5">
      <c r="A33" s="1" t="str">
        <f>"氧气吸入（持续吸氧）"</f>
        <v>氧气吸入（持续吸氧）</v>
      </c>
      <c r="B33" s="1">
        <v>65</v>
      </c>
      <c r="C33" s="1" t="str">
        <f>"日"</f>
        <v>日</v>
      </c>
      <c r="D33" s="1" t="str">
        <f>"日"</f>
        <v>日</v>
      </c>
      <c r="E33" s="1" t="str">
        <f>"输氧费"</f>
        <v>输氧费</v>
      </c>
    </row>
    <row r="34" spans="1:5">
      <c r="A34" s="1" t="str">
        <f>"肌肉注射"</f>
        <v>肌肉注射</v>
      </c>
      <c r="B34" s="1">
        <v>4</v>
      </c>
      <c r="C34" s="1" t="str">
        <f>"次"</f>
        <v>次</v>
      </c>
      <c r="D34" s="1" t="str">
        <f>"次"</f>
        <v>次</v>
      </c>
      <c r="E34" s="1" t="str">
        <f>"其他护理费"</f>
        <v>其他护理费</v>
      </c>
    </row>
    <row r="35" spans="1:5">
      <c r="A35" s="1" t="str">
        <f>"皮内注射"</f>
        <v>皮内注射</v>
      </c>
      <c r="B35" s="1">
        <v>4</v>
      </c>
      <c r="C35" s="1">
        <v>1</v>
      </c>
      <c r="D35" s="1" t="str">
        <f>"次"</f>
        <v>次</v>
      </c>
      <c r="E35" s="1" t="str">
        <f>"其他护理费"</f>
        <v>其他护理费</v>
      </c>
    </row>
    <row r="36" spans="1:5">
      <c r="A36" s="1" t="str">
        <f>"皮下注射"</f>
        <v>皮下注射</v>
      </c>
      <c r="B36" s="1">
        <v>4</v>
      </c>
      <c r="C36" s="1">
        <v>1</v>
      </c>
      <c r="D36" s="1" t="str">
        <f>"次"</f>
        <v>次</v>
      </c>
      <c r="E36" s="1" t="str">
        <f>"其他护理费"</f>
        <v>其他护理费</v>
      </c>
    </row>
    <row r="37" spans="1:5">
      <c r="A37" s="1" t="str">
        <f>"静脉注射"</f>
        <v>静脉注射</v>
      </c>
      <c r="B37" s="1">
        <v>5</v>
      </c>
      <c r="C37" s="1">
        <v>1</v>
      </c>
      <c r="D37" s="1" t="str">
        <f>"每次"</f>
        <v>每次</v>
      </c>
      <c r="E37" s="1" t="str">
        <f>"一般护理费"</f>
        <v>一般护理费</v>
      </c>
    </row>
    <row r="38" spans="1:5">
      <c r="A38" s="1" t="str">
        <f>"静脉注射(静脉采血)"</f>
        <v>静脉注射(静脉采血)</v>
      </c>
      <c r="B38" s="1">
        <v>5</v>
      </c>
      <c r="C38" s="1" t="str">
        <f t="shared" ref="C38:C40" si="12">"次"</f>
        <v>次</v>
      </c>
      <c r="D38" s="1" t="str">
        <f t="shared" ref="D38:D40" si="13">"次"</f>
        <v>次</v>
      </c>
      <c r="E38" s="1" t="str">
        <f>"检验费"</f>
        <v>检验费</v>
      </c>
    </row>
    <row r="39" spans="1:5">
      <c r="A39" s="1" t="str">
        <f>"心内注射"</f>
        <v>心内注射</v>
      </c>
      <c r="B39" s="1">
        <v>5.2</v>
      </c>
      <c r="C39" s="1" t="str">
        <f t="shared" si="12"/>
        <v>次</v>
      </c>
      <c r="D39" s="1" t="str">
        <f t="shared" si="13"/>
        <v>次</v>
      </c>
      <c r="E39" s="1" t="str">
        <f t="shared" ref="E39:E41" si="14">"治疗费"</f>
        <v>治疗费</v>
      </c>
    </row>
    <row r="40" spans="1:5">
      <c r="A40" s="1" t="str">
        <f>"动脉加压注射"</f>
        <v>动脉加压注射</v>
      </c>
      <c r="B40" s="1">
        <v>5.2</v>
      </c>
      <c r="C40" s="1" t="str">
        <f t="shared" si="12"/>
        <v>次</v>
      </c>
      <c r="D40" s="1" t="str">
        <f t="shared" si="13"/>
        <v>次</v>
      </c>
      <c r="E40" s="1" t="str">
        <f t="shared" si="14"/>
        <v>治疗费</v>
      </c>
    </row>
    <row r="41" spans="1:5">
      <c r="A41" s="1" t="str">
        <f>"皮下输液"</f>
        <v>皮下输液</v>
      </c>
      <c r="B41" s="1">
        <v>2.6</v>
      </c>
      <c r="C41" s="1" t="str">
        <f>"组"</f>
        <v>组</v>
      </c>
      <c r="D41" s="1" t="str">
        <f>"组"</f>
        <v>组</v>
      </c>
      <c r="E41" s="1" t="str">
        <f t="shared" si="14"/>
        <v>治疗费</v>
      </c>
    </row>
    <row r="42" spans="1:5">
      <c r="A42" s="1" t="str">
        <f>"静脉输液"</f>
        <v>静脉输液</v>
      </c>
      <c r="B42" s="1">
        <v>8</v>
      </c>
      <c r="C42" s="1" t="str">
        <f>"次"</f>
        <v>次</v>
      </c>
      <c r="D42" s="1" t="str">
        <f>"次"</f>
        <v>次</v>
      </c>
      <c r="E42" s="1" t="str">
        <f>"其他护理费"</f>
        <v>其他护理费</v>
      </c>
    </row>
    <row r="43" spans="1:5">
      <c r="A43" s="1" t="str">
        <f>"微量泵或输液泵加收"</f>
        <v>微量泵或输液泵加收</v>
      </c>
      <c r="B43" s="1" t="str">
        <f>"0.7"</f>
        <v>0.7</v>
      </c>
      <c r="C43" s="1">
        <v>1</v>
      </c>
      <c r="D43" s="1" t="str">
        <f>"小时"</f>
        <v>小时</v>
      </c>
      <c r="E43" s="1" t="str">
        <f>"其他护理费"</f>
        <v>其他护理费</v>
      </c>
    </row>
    <row r="44" spans="1:5">
      <c r="A44" s="1" t="str">
        <f>"静脉输液每瓶加收"</f>
        <v>静脉输液每瓶加收</v>
      </c>
      <c r="B44" s="1">
        <v>1.3</v>
      </c>
      <c r="C44" s="1" t="str">
        <f>"-"</f>
        <v>-</v>
      </c>
      <c r="D44" s="1" t="str">
        <f>"瓶"</f>
        <v>瓶</v>
      </c>
      <c r="E44" s="1" t="str">
        <f>"其他护理费"</f>
        <v>其他护理费</v>
      </c>
    </row>
    <row r="45" spans="1:5">
      <c r="A45" s="1" t="str">
        <f>"小儿静脉输液"</f>
        <v>小儿静脉输液</v>
      </c>
      <c r="B45" s="1">
        <v>11</v>
      </c>
      <c r="C45" s="1" t="str">
        <f>"-"</f>
        <v>-</v>
      </c>
      <c r="D45" s="1" t="str">
        <f>"次"</f>
        <v>次</v>
      </c>
      <c r="E45" s="1" t="str">
        <f>"治疗费"</f>
        <v>治疗费</v>
      </c>
    </row>
    <row r="46" spans="1:5">
      <c r="A46" s="1" t="str">
        <f>"静脉高营养治疗"</f>
        <v>静脉高营养治疗</v>
      </c>
      <c r="B46" s="1">
        <v>6.5</v>
      </c>
      <c r="C46" s="1" t="str">
        <f>"次"</f>
        <v>次</v>
      </c>
      <c r="D46" s="1" t="str">
        <f>"次"</f>
        <v>次</v>
      </c>
      <c r="E46" s="1" t="str">
        <f>"治疗费"</f>
        <v>治疗费</v>
      </c>
    </row>
    <row r="47" spans="1:5">
      <c r="A47" s="1" t="str">
        <f>"动脉穿刺置管术"</f>
        <v>动脉穿刺置管术</v>
      </c>
      <c r="B47" s="1">
        <v>52</v>
      </c>
      <c r="C47" s="1" t="str">
        <f t="shared" ref="C47:C52" si="15">"次"</f>
        <v>次</v>
      </c>
      <c r="D47" s="1" t="str">
        <f t="shared" ref="D47:D52" si="16">"次"</f>
        <v>次</v>
      </c>
      <c r="E47" s="1" t="str">
        <f>"治疗费"</f>
        <v>治疗费</v>
      </c>
    </row>
    <row r="48" spans="1:5">
      <c r="A48" s="1" t="str">
        <f>"大清创缝合"</f>
        <v>大清创缝合</v>
      </c>
      <c r="B48" s="1">
        <v>91</v>
      </c>
      <c r="C48" s="1" t="str">
        <f t="shared" si="15"/>
        <v>次</v>
      </c>
      <c r="D48" s="1" t="str">
        <f t="shared" si="16"/>
        <v>次</v>
      </c>
      <c r="E48" s="1" t="str">
        <f t="shared" ref="E48:E52" si="17">"手术费"</f>
        <v>手术费</v>
      </c>
    </row>
    <row r="49" spans="1:5">
      <c r="A49" s="1" t="str">
        <f>"大清创"</f>
        <v>大清创</v>
      </c>
      <c r="B49" s="1">
        <v>39</v>
      </c>
      <c r="C49" s="1" t="str">
        <f t="shared" si="15"/>
        <v>次</v>
      </c>
      <c r="D49" s="1" t="str">
        <f t="shared" si="16"/>
        <v>次</v>
      </c>
      <c r="E49" s="1" t="str">
        <f>"治疗费"</f>
        <v>治疗费</v>
      </c>
    </row>
    <row r="50" spans="1:5">
      <c r="A50" s="1" t="str">
        <f>"中清创缝合"</f>
        <v>中清创缝合</v>
      </c>
      <c r="B50" s="1">
        <v>78</v>
      </c>
      <c r="C50" s="1" t="str">
        <f t="shared" si="15"/>
        <v>次</v>
      </c>
      <c r="D50" s="1" t="str">
        <f t="shared" si="16"/>
        <v>次</v>
      </c>
      <c r="E50" s="1" t="str">
        <f>"治疗费"</f>
        <v>治疗费</v>
      </c>
    </row>
    <row r="51" spans="1:5">
      <c r="A51" s="1" t="str">
        <f>"中清创"</f>
        <v>中清创</v>
      </c>
      <c r="B51" s="1">
        <v>26</v>
      </c>
      <c r="C51" s="1" t="str">
        <f t="shared" si="15"/>
        <v>次</v>
      </c>
      <c r="D51" s="1" t="str">
        <f t="shared" si="16"/>
        <v>次</v>
      </c>
      <c r="E51" s="1" t="str">
        <f t="shared" si="17"/>
        <v>手术费</v>
      </c>
    </row>
    <row r="52" spans="1:5">
      <c r="A52" s="1" t="str">
        <f>"小清创缝合"</f>
        <v>小清创缝合</v>
      </c>
      <c r="B52" s="1">
        <v>65</v>
      </c>
      <c r="C52" s="1" t="str">
        <f t="shared" si="15"/>
        <v>次</v>
      </c>
      <c r="D52" s="1" t="str">
        <f t="shared" si="16"/>
        <v>次</v>
      </c>
      <c r="E52" s="1" t="str">
        <f t="shared" si="17"/>
        <v>手术费</v>
      </c>
    </row>
    <row r="53" spans="1:5">
      <c r="A53" s="1" t="str">
        <f>"特大换药"</f>
        <v>特大换药</v>
      </c>
      <c r="B53" s="1">
        <v>39</v>
      </c>
      <c r="C53" s="1" t="str">
        <f t="shared" ref="C53:C57" si="18">"次"</f>
        <v>次</v>
      </c>
      <c r="D53" s="1" t="str">
        <f t="shared" ref="D53:D57" si="19">"次"</f>
        <v>次</v>
      </c>
      <c r="E53" s="1" t="str">
        <f t="shared" ref="E53:E57" si="20">"治疗费"</f>
        <v>治疗费</v>
      </c>
    </row>
    <row r="54" spans="1:5">
      <c r="A54" s="1" t="str">
        <f>"大换药"</f>
        <v>大换药</v>
      </c>
      <c r="B54" s="1">
        <v>26</v>
      </c>
      <c r="C54" s="1" t="str">
        <f t="shared" si="18"/>
        <v>次</v>
      </c>
      <c r="D54" s="1" t="str">
        <f t="shared" si="19"/>
        <v>次</v>
      </c>
      <c r="E54" s="1" t="str">
        <f t="shared" si="20"/>
        <v>治疗费</v>
      </c>
    </row>
    <row r="55" spans="1:5">
      <c r="A55" s="1" t="str">
        <f>"中换药"</f>
        <v>中换药</v>
      </c>
      <c r="B55" s="1">
        <v>13</v>
      </c>
      <c r="C55" s="1" t="str">
        <f t="shared" si="18"/>
        <v>次</v>
      </c>
      <c r="D55" s="1" t="str">
        <f t="shared" si="19"/>
        <v>次</v>
      </c>
      <c r="E55" s="1" t="str">
        <f t="shared" si="20"/>
        <v>治疗费</v>
      </c>
    </row>
    <row r="56" spans="1:5">
      <c r="A56" s="1" t="str">
        <f>"小换药"</f>
        <v>小换药</v>
      </c>
      <c r="B56" s="1">
        <v>7</v>
      </c>
      <c r="C56" s="1" t="str">
        <f t="shared" si="18"/>
        <v>次</v>
      </c>
      <c r="D56" s="1" t="str">
        <f t="shared" si="19"/>
        <v>次</v>
      </c>
      <c r="E56" s="1" t="str">
        <f t="shared" si="20"/>
        <v>治疗费</v>
      </c>
    </row>
    <row r="57" spans="1:5">
      <c r="A57" s="1" t="str">
        <f>"雾化吸入"</f>
        <v>雾化吸入</v>
      </c>
      <c r="B57" s="1">
        <v>6.5</v>
      </c>
      <c r="C57" s="1" t="str">
        <f t="shared" si="18"/>
        <v>次</v>
      </c>
      <c r="D57" s="1" t="str">
        <f t="shared" si="19"/>
        <v>次</v>
      </c>
      <c r="E57" s="1" t="str">
        <f t="shared" si="20"/>
        <v>治疗费</v>
      </c>
    </row>
    <row r="58" spans="1:5">
      <c r="A58" s="1" t="str">
        <f>"鼻饲管置管"</f>
        <v>鼻饲管置管</v>
      </c>
      <c r="B58" s="1">
        <v>13</v>
      </c>
      <c r="C58" s="1" t="str">
        <f>"次"</f>
        <v>次</v>
      </c>
      <c r="D58" s="1" t="str">
        <f>"次"</f>
        <v>次</v>
      </c>
      <c r="E58" s="1" t="str">
        <f>"治疗费"</f>
        <v>治疗费</v>
      </c>
    </row>
    <row r="59" spans="1:5">
      <c r="A59" s="1" t="str">
        <f>"鼻饲管置管注食、注药加收"</f>
        <v>鼻饲管置管注食、注药加收</v>
      </c>
      <c r="B59" s="1">
        <v>2.6</v>
      </c>
      <c r="C59" s="1" t="str">
        <f>"次"</f>
        <v>次</v>
      </c>
      <c r="D59" s="1" t="str">
        <f>"次"</f>
        <v>次</v>
      </c>
      <c r="E59" s="1" t="str">
        <f>"其他护理费"</f>
        <v>其他护理费</v>
      </c>
    </row>
    <row r="60" spans="1:5">
      <c r="A60" s="1" t="str">
        <f>"胃肠减压"</f>
        <v>胃肠减压</v>
      </c>
      <c r="B60" s="1">
        <v>20</v>
      </c>
      <c r="C60" s="1" t="str">
        <f t="shared" ref="C60:C69" si="21">"次"</f>
        <v>次</v>
      </c>
      <c r="D60" s="1" t="str">
        <f t="shared" ref="D60:D69" si="22">"次"</f>
        <v>次</v>
      </c>
      <c r="E60" s="1" t="str">
        <f t="shared" ref="E60:E69" si="23">"治疗费"</f>
        <v>治疗费</v>
      </c>
    </row>
    <row r="61" spans="1:5">
      <c r="A61" s="1" t="str">
        <f>"洗胃"</f>
        <v>洗胃</v>
      </c>
      <c r="B61" s="1">
        <v>26</v>
      </c>
      <c r="C61" s="1" t="str">
        <f t="shared" si="21"/>
        <v>次</v>
      </c>
      <c r="D61" s="1" t="str">
        <f t="shared" si="22"/>
        <v>次</v>
      </c>
      <c r="E61" s="1" t="str">
        <f t="shared" si="23"/>
        <v>治疗费</v>
      </c>
    </row>
    <row r="62" spans="1:5">
      <c r="A62" s="1" t="str">
        <f>"一般物理降温"</f>
        <v>一般物理降温</v>
      </c>
      <c r="B62" s="1">
        <v>2.6</v>
      </c>
      <c r="C62" s="1" t="str">
        <f t="shared" si="21"/>
        <v>次</v>
      </c>
      <c r="D62" s="1" t="str">
        <f t="shared" si="22"/>
        <v>次</v>
      </c>
      <c r="E62" s="1" t="str">
        <f t="shared" si="23"/>
        <v>治疗费</v>
      </c>
    </row>
    <row r="63" spans="1:5">
      <c r="A63" s="1" t="str">
        <f>"坐浴"</f>
        <v>坐浴</v>
      </c>
      <c r="B63" s="1">
        <v>3.9</v>
      </c>
      <c r="C63" s="1" t="str">
        <f t="shared" si="21"/>
        <v>次</v>
      </c>
      <c r="D63" s="1" t="str">
        <f t="shared" si="22"/>
        <v>次</v>
      </c>
      <c r="E63" s="1" t="str">
        <f t="shared" si="23"/>
        <v>治疗费</v>
      </c>
    </row>
    <row r="64" spans="1:5">
      <c r="A64" s="1" t="str">
        <f>"冷热湿敷"</f>
        <v>冷热湿敷</v>
      </c>
      <c r="B64" s="1">
        <v>3.9</v>
      </c>
      <c r="C64" s="1" t="str">
        <f t="shared" si="21"/>
        <v>次</v>
      </c>
      <c r="D64" s="1" t="str">
        <f t="shared" si="22"/>
        <v>次</v>
      </c>
      <c r="E64" s="1" t="str">
        <f t="shared" si="23"/>
        <v>治疗费</v>
      </c>
    </row>
    <row r="65" spans="1:5">
      <c r="A65" s="1" t="str">
        <f>"引流管冲洗"</f>
        <v>引流管冲洗</v>
      </c>
      <c r="B65" s="1">
        <v>1.3</v>
      </c>
      <c r="C65" s="1" t="str">
        <f t="shared" si="21"/>
        <v>次</v>
      </c>
      <c r="D65" s="1" t="str">
        <f t="shared" si="22"/>
        <v>次</v>
      </c>
      <c r="E65" s="1" t="str">
        <f t="shared" si="23"/>
        <v>治疗费</v>
      </c>
    </row>
    <row r="66" spans="1:5">
      <c r="A66" s="1" t="str">
        <f>"更换引流装置加收"</f>
        <v>更换引流装置加收</v>
      </c>
      <c r="B66" s="1">
        <v>2.6</v>
      </c>
      <c r="C66" s="1" t="str">
        <f t="shared" si="21"/>
        <v>次</v>
      </c>
      <c r="D66" s="1" t="str">
        <f t="shared" si="22"/>
        <v>次</v>
      </c>
      <c r="E66" s="1" t="str">
        <f t="shared" si="23"/>
        <v>治疗费</v>
      </c>
    </row>
    <row r="67" spans="1:5">
      <c r="A67" s="1" t="str">
        <f>"灌肠"</f>
        <v>灌肠</v>
      </c>
      <c r="B67" s="1">
        <v>13</v>
      </c>
      <c r="C67" s="1" t="str">
        <f t="shared" si="21"/>
        <v>次</v>
      </c>
      <c r="D67" s="1" t="str">
        <f t="shared" si="22"/>
        <v>次</v>
      </c>
      <c r="E67" s="1" t="str">
        <f t="shared" si="23"/>
        <v>治疗费</v>
      </c>
    </row>
    <row r="68" spans="1:5">
      <c r="A68" s="1" t="str">
        <f>"清洁灌肠"</f>
        <v>清洁灌肠</v>
      </c>
      <c r="B68" s="1">
        <v>26</v>
      </c>
      <c r="C68" s="1" t="str">
        <f t="shared" si="21"/>
        <v>次</v>
      </c>
      <c r="D68" s="1" t="str">
        <f t="shared" si="22"/>
        <v>次</v>
      </c>
      <c r="E68" s="1" t="str">
        <f t="shared" si="23"/>
        <v>治疗费</v>
      </c>
    </row>
    <row r="69" spans="1:5">
      <c r="A69" s="1" t="str">
        <f>"导尿"</f>
        <v>导尿</v>
      </c>
      <c r="B69" s="1">
        <v>5.2</v>
      </c>
      <c r="C69" s="1" t="str">
        <f t="shared" si="21"/>
        <v>次</v>
      </c>
      <c r="D69" s="1" t="str">
        <f t="shared" si="22"/>
        <v>次</v>
      </c>
      <c r="E69" s="1" t="str">
        <f t="shared" si="23"/>
        <v>治疗费</v>
      </c>
    </row>
    <row r="70" spans="1:5">
      <c r="A70" s="1" t="str">
        <f>"留置导尿加收"</f>
        <v>留置导尿加收</v>
      </c>
      <c r="B70" s="1">
        <v>1.3</v>
      </c>
      <c r="C70" s="1" t="str">
        <f>"日"</f>
        <v>日</v>
      </c>
      <c r="D70" s="1" t="str">
        <f>"日"</f>
        <v>日</v>
      </c>
      <c r="E70" s="1" t="str">
        <f>"治疗费"</f>
        <v>治疗费</v>
      </c>
    </row>
    <row r="71" spans="1:5">
      <c r="A71" s="1" t="str">
        <f>"膀胱冲洗"</f>
        <v>膀胱冲洗</v>
      </c>
      <c r="B71" s="1">
        <v>20</v>
      </c>
      <c r="C71" s="1" t="str">
        <f>"次"</f>
        <v>次</v>
      </c>
      <c r="D71" s="1" t="str">
        <f>"次"</f>
        <v>次</v>
      </c>
      <c r="E71" s="1" t="str">
        <f>"治疗费"</f>
        <v>治疗费</v>
      </c>
    </row>
    <row r="72" spans="1:5">
      <c r="A72" s="1" t="str">
        <f>"肛管排气"</f>
        <v>肛管排气</v>
      </c>
      <c r="B72" s="1">
        <v>3.9</v>
      </c>
      <c r="C72" s="1" t="str">
        <f t="shared" ref="C72:C84" si="24">"次"</f>
        <v>次</v>
      </c>
      <c r="D72" s="1" t="str">
        <f t="shared" ref="D72:D87" si="25">"次"</f>
        <v>次</v>
      </c>
      <c r="E72" s="1" t="str">
        <f>"治疗费"</f>
        <v>治疗费</v>
      </c>
    </row>
    <row r="73" spans="1:5">
      <c r="A73" s="1" t="str">
        <f>"婴幼儿健康体检"</f>
        <v>婴幼儿健康体检</v>
      </c>
      <c r="B73" s="1">
        <v>5</v>
      </c>
      <c r="C73" s="1">
        <v>1</v>
      </c>
      <c r="D73" s="1" t="str">
        <f>"每次"</f>
        <v>每次</v>
      </c>
      <c r="E73" s="1" t="str">
        <f>"体检费"</f>
        <v>体检费</v>
      </c>
    </row>
    <row r="74" spans="1:5">
      <c r="A74" s="1" t="str">
        <f>"儿童龋齿预防保健"</f>
        <v>儿童龋齿预防保健</v>
      </c>
      <c r="B74" s="1">
        <v>1</v>
      </c>
      <c r="C74" s="1" t="str">
        <f t="shared" si="24"/>
        <v>次</v>
      </c>
      <c r="D74" s="1" t="str">
        <f t="shared" si="25"/>
        <v>次</v>
      </c>
      <c r="E74" s="1" t="str">
        <f>"治疗费"</f>
        <v>治疗费</v>
      </c>
    </row>
    <row r="75" spans="1:5">
      <c r="A75" s="1" t="str">
        <f>"家庭巡诊"</f>
        <v>家庭巡诊</v>
      </c>
      <c r="B75" s="1">
        <v>20</v>
      </c>
      <c r="C75" s="1" t="str">
        <f t="shared" si="24"/>
        <v>次</v>
      </c>
      <c r="D75" s="1" t="str">
        <f t="shared" si="25"/>
        <v>次</v>
      </c>
      <c r="E75" s="1" t="str">
        <f t="shared" ref="E75:E84" si="26">"服务收入"</f>
        <v>服务收入</v>
      </c>
    </row>
    <row r="76" spans="1:5">
      <c r="A76" s="1" t="str">
        <f>"围产保健访视"</f>
        <v>围产保健访视</v>
      </c>
      <c r="B76" s="1">
        <v>10</v>
      </c>
      <c r="C76" s="1" t="str">
        <f t="shared" si="24"/>
        <v>次</v>
      </c>
      <c r="D76" s="1" t="str">
        <f t="shared" si="25"/>
        <v>次</v>
      </c>
      <c r="E76" s="1" t="str">
        <f t="shared" si="26"/>
        <v>服务收入</v>
      </c>
    </row>
    <row r="77" spans="1:5">
      <c r="A77" s="1" t="str">
        <f>"传染病访视"</f>
        <v>传染病访视</v>
      </c>
      <c r="B77" s="1">
        <v>10</v>
      </c>
      <c r="C77" s="1" t="str">
        <f t="shared" si="24"/>
        <v>次</v>
      </c>
      <c r="D77" s="1" t="str">
        <f t="shared" si="25"/>
        <v>次</v>
      </c>
      <c r="E77" s="1" t="str">
        <f t="shared" si="26"/>
        <v>服务收入</v>
      </c>
    </row>
    <row r="78" spans="1:5">
      <c r="A78" s="1" t="str">
        <f>"家庭病床建床费"</f>
        <v>家庭病床建床费</v>
      </c>
      <c r="B78" s="1">
        <v>50</v>
      </c>
      <c r="C78" s="1" t="str">
        <f t="shared" si="24"/>
        <v>次</v>
      </c>
      <c r="D78" s="1" t="str">
        <f t="shared" si="25"/>
        <v>次</v>
      </c>
      <c r="E78" s="1" t="str">
        <f t="shared" si="26"/>
        <v>服务收入</v>
      </c>
    </row>
    <row r="79" spans="1:5">
      <c r="A79" s="1" t="str">
        <f>"家庭病床巡诊费"</f>
        <v>家庭病床巡诊费</v>
      </c>
      <c r="B79" s="1">
        <v>30</v>
      </c>
      <c r="C79" s="1" t="str">
        <f t="shared" si="24"/>
        <v>次</v>
      </c>
      <c r="D79" s="1" t="str">
        <f t="shared" si="25"/>
        <v>次</v>
      </c>
      <c r="E79" s="1" t="str">
        <f t="shared" si="26"/>
        <v>服务收入</v>
      </c>
    </row>
    <row r="80" spans="1:5">
      <c r="A80" s="1" t="str">
        <f>"出诊费"</f>
        <v>出诊费</v>
      </c>
      <c r="B80" s="1">
        <v>40</v>
      </c>
      <c r="C80" s="1" t="str">
        <f t="shared" si="24"/>
        <v>次</v>
      </c>
      <c r="D80" s="1" t="str">
        <f t="shared" si="25"/>
        <v>次</v>
      </c>
      <c r="E80" s="1" t="str">
        <f t="shared" si="26"/>
        <v>服务收入</v>
      </c>
    </row>
    <row r="81" spans="1:5">
      <c r="A81" s="1" t="str">
        <f>"出诊费（副高以上职称）"</f>
        <v>出诊费（副高以上职称）</v>
      </c>
      <c r="B81" s="1">
        <v>55</v>
      </c>
      <c r="C81" s="1" t="str">
        <f t="shared" si="24"/>
        <v>次</v>
      </c>
      <c r="D81" s="1" t="str">
        <f t="shared" si="25"/>
        <v>次</v>
      </c>
      <c r="E81" s="1" t="str">
        <f t="shared" si="26"/>
        <v>服务收入</v>
      </c>
    </row>
    <row r="82" spans="1:5">
      <c r="A82" s="1" t="str">
        <f>"建立健康档案"</f>
        <v>建立健康档案</v>
      </c>
      <c r="B82" s="1">
        <v>2</v>
      </c>
      <c r="C82" s="1" t="str">
        <f t="shared" si="24"/>
        <v>次</v>
      </c>
      <c r="D82" s="1" t="str">
        <f t="shared" si="25"/>
        <v>次</v>
      </c>
      <c r="E82" s="1" t="str">
        <f t="shared" si="26"/>
        <v>服务收入</v>
      </c>
    </row>
    <row r="83" spans="1:5">
      <c r="A83" s="1" t="str">
        <f>"健康咨询"</f>
        <v>健康咨询</v>
      </c>
      <c r="B83" s="1">
        <v>5</v>
      </c>
      <c r="C83" s="1" t="str">
        <f t="shared" si="24"/>
        <v>次</v>
      </c>
      <c r="D83" s="1" t="str">
        <f t="shared" si="25"/>
        <v>次</v>
      </c>
      <c r="E83" s="1" t="str">
        <f t="shared" si="26"/>
        <v>服务收入</v>
      </c>
    </row>
    <row r="84" spans="1:5">
      <c r="A84" s="1" t="str">
        <f>"疾病健康教育"</f>
        <v>疾病健康教育</v>
      </c>
      <c r="B84" s="1">
        <v>2</v>
      </c>
      <c r="C84" s="1" t="str">
        <f t="shared" si="24"/>
        <v>次</v>
      </c>
      <c r="D84" s="1" t="str">
        <f t="shared" si="25"/>
        <v>次</v>
      </c>
      <c r="E84" s="1" t="str">
        <f t="shared" si="26"/>
        <v>服务收入</v>
      </c>
    </row>
    <row r="85" spans="1:5">
      <c r="A85" s="1" t="str">
        <f>"一般诊疗费"</f>
        <v>一般诊疗费</v>
      </c>
      <c r="B85" s="1">
        <v>10</v>
      </c>
      <c r="C85" s="1">
        <v>1</v>
      </c>
      <c r="D85" s="1" t="str">
        <f t="shared" si="25"/>
        <v>次</v>
      </c>
      <c r="E85" s="1" t="str">
        <f>"一般诊疗费"</f>
        <v>一般诊疗费</v>
      </c>
    </row>
    <row r="86" spans="1:5">
      <c r="A86" s="1" t="str">
        <f>"挂号费"</f>
        <v>挂号费</v>
      </c>
      <c r="B86" s="1">
        <v>1</v>
      </c>
      <c r="C86" s="1">
        <v>1</v>
      </c>
      <c r="D86" s="1" t="str">
        <f t="shared" si="25"/>
        <v>次</v>
      </c>
      <c r="E86" s="1" t="str">
        <f t="shared" ref="E86:E88" si="27">"诊查费"</f>
        <v>诊查费</v>
      </c>
    </row>
    <row r="87" spans="1:5">
      <c r="A87" s="1" t="str">
        <f>"主任医师一般诊疗费"</f>
        <v>主任医师一般诊疗费</v>
      </c>
      <c r="B87" s="1">
        <v>23</v>
      </c>
      <c r="C87" s="1" t="str">
        <f t="shared" ref="C87:C90" si="28">"次"</f>
        <v>次</v>
      </c>
      <c r="D87" s="1" t="str">
        <f t="shared" si="25"/>
        <v>次</v>
      </c>
      <c r="E87" s="1" t="str">
        <f t="shared" si="27"/>
        <v>诊查费</v>
      </c>
    </row>
    <row r="88" spans="1:5">
      <c r="A88" s="1" t="str">
        <f>"副主任医师一般诊疗费"</f>
        <v>副主任医师一般诊疗费</v>
      </c>
      <c r="B88" s="1">
        <v>14</v>
      </c>
      <c r="C88" s="1" t="str">
        <f t="shared" si="28"/>
        <v>次</v>
      </c>
      <c r="D88" s="1" t="str">
        <f>"每次"</f>
        <v>每次</v>
      </c>
      <c r="E88" s="1" t="str">
        <f t="shared" si="27"/>
        <v>诊查费</v>
      </c>
    </row>
    <row r="89" spans="1:5">
      <c r="A89" s="1" t="str">
        <f>"尸体料理"</f>
        <v>尸体料理</v>
      </c>
      <c r="B89" s="1">
        <v>60</v>
      </c>
      <c r="C89" s="1" t="str">
        <f t="shared" si="28"/>
        <v>次</v>
      </c>
      <c r="D89" s="1" t="str">
        <f t="shared" ref="D89:D92" si="29">"次"</f>
        <v>次</v>
      </c>
      <c r="E89" s="1" t="str">
        <f t="shared" ref="E89:E92" si="30">"其他收入"</f>
        <v>其他收入</v>
      </c>
    </row>
    <row r="90" spans="1:5">
      <c r="A90" s="1" t="str">
        <f>"特殊传染病人尸体料理加收"</f>
        <v>特殊传染病人尸体料理加收</v>
      </c>
      <c r="B90" s="1">
        <v>50</v>
      </c>
      <c r="C90" s="1" t="str">
        <f t="shared" si="28"/>
        <v>次</v>
      </c>
      <c r="D90" s="1" t="str">
        <f t="shared" si="29"/>
        <v>次</v>
      </c>
      <c r="E90" s="1" t="str">
        <f t="shared" si="30"/>
        <v>其他收入</v>
      </c>
    </row>
    <row r="91" spans="1:5">
      <c r="A91" s="1" t="str">
        <f>"尸体存放"</f>
        <v>尸体存放</v>
      </c>
      <c r="B91" s="1">
        <v>20</v>
      </c>
      <c r="C91" s="1" t="str">
        <f>"日"</f>
        <v>日</v>
      </c>
      <c r="D91" s="1" t="str">
        <f>"日"</f>
        <v>日</v>
      </c>
      <c r="E91" s="1" t="str">
        <f t="shared" si="30"/>
        <v>其他收入</v>
      </c>
    </row>
    <row r="92" spans="1:5">
      <c r="A92" s="1" t="str">
        <f>"离体残肢处理"</f>
        <v>离体残肢处理</v>
      </c>
      <c r="B92" s="1">
        <v>20</v>
      </c>
      <c r="C92" s="1" t="str">
        <f t="shared" ref="C92:C96" si="31">"次"</f>
        <v>次</v>
      </c>
      <c r="D92" s="1" t="str">
        <f t="shared" si="29"/>
        <v>次</v>
      </c>
      <c r="E92" s="1" t="str">
        <f t="shared" si="30"/>
        <v>其他收入</v>
      </c>
    </row>
    <row r="93" spans="1:5">
      <c r="A93" s="1" t="str">
        <f>"普通透视"</f>
        <v>普通透视</v>
      </c>
      <c r="B93" s="1">
        <v>5</v>
      </c>
      <c r="C93" s="1" t="str">
        <f>"每个部位"</f>
        <v>每个部位</v>
      </c>
      <c r="D93" s="1" t="str">
        <f>"每个部位"</f>
        <v>每个部位</v>
      </c>
      <c r="E93" s="1" t="str">
        <f t="shared" ref="E93:E115" si="32">"放射费"</f>
        <v>放射费</v>
      </c>
    </row>
    <row r="94" spans="1:5">
      <c r="A94" s="1" t="str">
        <f>"食管钡餐透视"</f>
        <v>食管钡餐透视</v>
      </c>
      <c r="B94" s="1">
        <v>6</v>
      </c>
      <c r="C94" s="1" t="str">
        <f t="shared" si="31"/>
        <v>次</v>
      </c>
      <c r="D94" s="1" t="str">
        <f t="shared" ref="D94:D96" si="33">"次"</f>
        <v>次</v>
      </c>
      <c r="E94" s="1" t="str">
        <f t="shared" si="32"/>
        <v>放射费</v>
      </c>
    </row>
    <row r="95" spans="1:5">
      <c r="A95" s="1" t="str">
        <f>"床旁透视与术中透视"</f>
        <v>床旁透视与术中透视</v>
      </c>
      <c r="B95" s="1">
        <v>20</v>
      </c>
      <c r="C95" s="1" t="str">
        <f t="shared" si="31"/>
        <v>次</v>
      </c>
      <c r="D95" s="1" t="str">
        <f t="shared" si="33"/>
        <v>次</v>
      </c>
      <c r="E95" s="1" t="str">
        <f t="shared" si="32"/>
        <v>放射费</v>
      </c>
    </row>
    <row r="96" spans="1:5">
      <c r="A96" s="1" t="str">
        <f>"一张胶片多次曝光加收，最多不超过5次"</f>
        <v>一张胶片多次曝光加收，最多不超过5次</v>
      </c>
      <c r="B96" s="1">
        <v>3</v>
      </c>
      <c r="C96" s="1" t="str">
        <f t="shared" si="31"/>
        <v>次</v>
      </c>
      <c r="D96" s="1" t="str">
        <f t="shared" si="33"/>
        <v>次</v>
      </c>
      <c r="E96" s="1" t="str">
        <f t="shared" si="32"/>
        <v>放射费</v>
      </c>
    </row>
    <row r="97" spans="1:5">
      <c r="A97" s="1" t="str">
        <f>"X线摄影5×7吋"</f>
        <v>X线摄影5×7吋</v>
      </c>
      <c r="B97" s="1">
        <v>9</v>
      </c>
      <c r="C97" s="1" t="str">
        <f t="shared" ref="C97:C100" si="34">"片数"</f>
        <v>片数</v>
      </c>
      <c r="D97" s="1" t="str">
        <f t="shared" ref="D97:D114" si="35">"片数"</f>
        <v>片数</v>
      </c>
      <c r="E97" s="1" t="str">
        <f t="shared" si="32"/>
        <v>放射费</v>
      </c>
    </row>
    <row r="98" spans="1:5">
      <c r="A98" s="1" t="str">
        <f>"X线摄影5×7吋感绿片加收"</f>
        <v>X线摄影5×7吋感绿片加收</v>
      </c>
      <c r="B98" s="1">
        <v>5</v>
      </c>
      <c r="C98" s="1" t="str">
        <f t="shared" si="34"/>
        <v>片数</v>
      </c>
      <c r="D98" s="1" t="str">
        <f t="shared" si="35"/>
        <v>片数</v>
      </c>
      <c r="E98" s="1" t="str">
        <f t="shared" si="32"/>
        <v>放射费</v>
      </c>
    </row>
    <row r="99" spans="1:5">
      <c r="A99" s="1" t="str">
        <f>"X线摄影8×10吋"</f>
        <v>X线摄影8×10吋</v>
      </c>
      <c r="B99" s="1">
        <v>12</v>
      </c>
      <c r="C99" s="1" t="str">
        <f t="shared" si="34"/>
        <v>片数</v>
      </c>
      <c r="D99" s="1" t="str">
        <f t="shared" si="35"/>
        <v>片数</v>
      </c>
      <c r="E99" s="1" t="str">
        <f t="shared" si="32"/>
        <v>放射费</v>
      </c>
    </row>
    <row r="100" spans="1:5">
      <c r="A100" s="1" t="str">
        <f>"X线摄影8×10吋感绿片加收"</f>
        <v>X线摄影8×10吋感绿片加收</v>
      </c>
      <c r="B100" s="1">
        <v>6</v>
      </c>
      <c r="C100" s="1" t="str">
        <f t="shared" si="34"/>
        <v>片数</v>
      </c>
      <c r="D100" s="1" t="str">
        <f t="shared" si="35"/>
        <v>片数</v>
      </c>
      <c r="E100" s="1" t="str">
        <f t="shared" si="32"/>
        <v>放射费</v>
      </c>
    </row>
    <row r="101" spans="1:5">
      <c r="A101" s="1" t="str">
        <f>"X线摄影7×17吋"</f>
        <v>X线摄影7×17吋</v>
      </c>
      <c r="B101" s="1">
        <v>16</v>
      </c>
      <c r="C101" s="1">
        <v>1</v>
      </c>
      <c r="D101" s="1" t="str">
        <f t="shared" si="35"/>
        <v>片数</v>
      </c>
      <c r="E101" s="1" t="str">
        <f t="shared" si="32"/>
        <v>放射费</v>
      </c>
    </row>
    <row r="102" spans="1:5">
      <c r="A102" s="1" t="str">
        <f>"X线摄影10×12吋"</f>
        <v>X线摄影10×12吋</v>
      </c>
      <c r="B102" s="1">
        <v>16</v>
      </c>
      <c r="C102" s="1" t="str">
        <f t="shared" ref="C102:C111" si="36">"片数"</f>
        <v>片数</v>
      </c>
      <c r="D102" s="1" t="str">
        <f t="shared" si="35"/>
        <v>片数</v>
      </c>
      <c r="E102" s="1" t="str">
        <f t="shared" si="32"/>
        <v>放射费</v>
      </c>
    </row>
    <row r="103" spans="1:5">
      <c r="A103" s="1" t="str">
        <f>"X线摄影10×12吋感绿片加收"</f>
        <v>X线摄影10×12吋感绿片加收</v>
      </c>
      <c r="B103" s="1">
        <v>8</v>
      </c>
      <c r="C103" s="1">
        <v>1</v>
      </c>
      <c r="D103" s="1" t="str">
        <f t="shared" si="35"/>
        <v>片数</v>
      </c>
      <c r="E103" s="1" t="str">
        <f t="shared" si="32"/>
        <v>放射费</v>
      </c>
    </row>
    <row r="104" spans="1:5">
      <c r="A104" s="1" t="str">
        <f>"X线摄影7×17吋感绿片加收"</f>
        <v>X线摄影7×17吋感绿片加收</v>
      </c>
      <c r="B104" s="1">
        <v>8</v>
      </c>
      <c r="C104" s="1">
        <v>1</v>
      </c>
      <c r="D104" s="1" t="str">
        <f t="shared" si="35"/>
        <v>片数</v>
      </c>
      <c r="E104" s="1" t="str">
        <f t="shared" si="32"/>
        <v>放射费</v>
      </c>
    </row>
    <row r="105" spans="1:5">
      <c r="A105" s="1" t="str">
        <f>"X线摄影11×14吋"</f>
        <v>X线摄影11×14吋</v>
      </c>
      <c r="B105" s="1">
        <v>20</v>
      </c>
      <c r="C105" s="1" t="str">
        <f t="shared" si="36"/>
        <v>片数</v>
      </c>
      <c r="D105" s="1" t="str">
        <f t="shared" si="35"/>
        <v>片数</v>
      </c>
      <c r="E105" s="1" t="str">
        <f t="shared" si="32"/>
        <v>放射费</v>
      </c>
    </row>
    <row r="106" spans="1:5">
      <c r="A106" s="1" t="str">
        <f>"X线摄影11×14吋感绿片加收"</f>
        <v>X线摄影11×14吋感绿片加收</v>
      </c>
      <c r="B106" s="1">
        <v>10</v>
      </c>
      <c r="C106" s="1" t="str">
        <f t="shared" si="36"/>
        <v>片数</v>
      </c>
      <c r="D106" s="1" t="str">
        <f t="shared" si="35"/>
        <v>片数</v>
      </c>
      <c r="E106" s="1" t="str">
        <f t="shared" si="32"/>
        <v>放射费</v>
      </c>
    </row>
    <row r="107" spans="1:5">
      <c r="A107" s="1" t="str">
        <f>"X线摄影12×15吋"</f>
        <v>X线摄影12×15吋</v>
      </c>
      <c r="B107" s="1">
        <v>24</v>
      </c>
      <c r="C107" s="1" t="str">
        <f t="shared" si="36"/>
        <v>片数</v>
      </c>
      <c r="D107" s="1" t="str">
        <f t="shared" si="35"/>
        <v>片数</v>
      </c>
      <c r="E107" s="1" t="str">
        <f t="shared" si="32"/>
        <v>放射费</v>
      </c>
    </row>
    <row r="108" spans="1:5">
      <c r="A108" s="1" t="str">
        <f>"X线摄影12×15吋感绿片加收"</f>
        <v>X线摄影12×15吋感绿片加收</v>
      </c>
      <c r="B108" s="1">
        <v>12</v>
      </c>
      <c r="C108" s="1" t="str">
        <f t="shared" si="36"/>
        <v>片数</v>
      </c>
      <c r="D108" s="1" t="str">
        <f t="shared" si="35"/>
        <v>片数</v>
      </c>
      <c r="E108" s="1" t="str">
        <f t="shared" si="32"/>
        <v>放射费</v>
      </c>
    </row>
    <row r="109" spans="1:5">
      <c r="A109" s="1" t="str">
        <f>"X线摄影14×14吋"</f>
        <v>X线摄影14×14吋</v>
      </c>
      <c r="B109" s="1">
        <v>27</v>
      </c>
      <c r="C109" s="1" t="str">
        <f t="shared" si="36"/>
        <v>片数</v>
      </c>
      <c r="D109" s="1" t="str">
        <f t="shared" si="35"/>
        <v>片数</v>
      </c>
      <c r="E109" s="1" t="str">
        <f t="shared" si="32"/>
        <v>放射费</v>
      </c>
    </row>
    <row r="110" spans="1:5">
      <c r="A110" s="1" t="str">
        <f>"X线摄影14×14吋感绿片加收"</f>
        <v>X线摄影14×14吋感绿片加收</v>
      </c>
      <c r="B110" s="1">
        <v>14</v>
      </c>
      <c r="C110" s="1" t="str">
        <f t="shared" si="36"/>
        <v>片数</v>
      </c>
      <c r="D110" s="1" t="str">
        <f t="shared" si="35"/>
        <v>片数</v>
      </c>
      <c r="E110" s="1" t="str">
        <f t="shared" si="32"/>
        <v>放射费</v>
      </c>
    </row>
    <row r="111" spans="1:5">
      <c r="A111" s="1" t="str">
        <f>"X线摄影14×17吋"</f>
        <v>X线摄影14×17吋</v>
      </c>
      <c r="B111" s="1">
        <v>27</v>
      </c>
      <c r="C111" s="1" t="str">
        <f t="shared" si="36"/>
        <v>片数</v>
      </c>
      <c r="D111" s="1" t="str">
        <f t="shared" si="35"/>
        <v>片数</v>
      </c>
      <c r="E111" s="1" t="str">
        <f t="shared" si="32"/>
        <v>放射费</v>
      </c>
    </row>
    <row r="112" spans="1:5">
      <c r="A112" s="1" t="str">
        <f>"X线摄影14×17吋感绿片加收"</f>
        <v>X线摄影14×17吋感绿片加收</v>
      </c>
      <c r="B112" s="1">
        <v>14</v>
      </c>
      <c r="C112" s="1">
        <v>1</v>
      </c>
      <c r="D112" s="1" t="str">
        <f t="shared" si="35"/>
        <v>片数</v>
      </c>
      <c r="E112" s="1" t="str">
        <f t="shared" si="32"/>
        <v>放射费</v>
      </c>
    </row>
    <row r="113" spans="1:5">
      <c r="A113" s="1" t="str">
        <f>"使用感绿片加收牙片"</f>
        <v>使用感绿片加收牙片</v>
      </c>
      <c r="B113" s="1">
        <v>2</v>
      </c>
      <c r="C113" s="1" t="str">
        <f>"片数"</f>
        <v>片数</v>
      </c>
      <c r="D113" s="1" t="str">
        <f t="shared" si="35"/>
        <v>片数</v>
      </c>
      <c r="E113" s="1" t="str">
        <f t="shared" si="32"/>
        <v>放射费</v>
      </c>
    </row>
    <row r="114" spans="1:5">
      <c r="A114" s="1" t="str">
        <f>"咬合片"</f>
        <v>咬合片</v>
      </c>
      <c r="B114" s="1">
        <v>3</v>
      </c>
      <c r="C114" s="1" t="str">
        <f>"片数"</f>
        <v>片数</v>
      </c>
      <c r="D114" s="1" t="str">
        <f t="shared" si="35"/>
        <v>片数</v>
      </c>
      <c r="E114" s="1" t="str">
        <f t="shared" si="32"/>
        <v>放射费</v>
      </c>
    </row>
    <row r="115" spans="1:5">
      <c r="A115" s="1" t="str">
        <f>"数字化摄影(DR)"</f>
        <v>数字化摄影(DR)</v>
      </c>
      <c r="B115" s="1">
        <v>60</v>
      </c>
      <c r="C115" s="1" t="str">
        <f>"次"</f>
        <v>次</v>
      </c>
      <c r="D115" s="1" t="str">
        <f>"次"</f>
        <v>次</v>
      </c>
      <c r="E115" s="1" t="str">
        <f t="shared" si="32"/>
        <v>放射费</v>
      </c>
    </row>
    <row r="116" spans="1:5">
      <c r="A116" s="1" t="str">
        <f>"数字化摄影(DR)从第二次曝光开始加收"</f>
        <v>数字化摄影(DR)从第二次曝光开始加收</v>
      </c>
      <c r="B116" s="1">
        <v>30</v>
      </c>
      <c r="C116" s="1" t="str">
        <f>"次"</f>
        <v>次</v>
      </c>
      <c r="D116" s="1" t="str">
        <f>"次"</f>
        <v>次</v>
      </c>
      <c r="E116" s="1" t="str">
        <f t="shared" ref="E116:E118" si="37">"放射费"</f>
        <v>放射费</v>
      </c>
    </row>
    <row r="117" spans="1:5">
      <c r="A117" s="1" t="str">
        <f>"数字化摄影CR"</f>
        <v>数字化摄影CR</v>
      </c>
      <c r="B117" s="1">
        <v>30</v>
      </c>
      <c r="C117" s="1">
        <v>1</v>
      </c>
      <c r="D117" s="1" t="str">
        <f>"次"</f>
        <v>次</v>
      </c>
      <c r="E117" s="1" t="str">
        <f t="shared" si="37"/>
        <v>放射费</v>
      </c>
    </row>
    <row r="118" spans="1:5">
      <c r="A118" s="1" t="str">
        <f>"数字化摄影CR（加收）"</f>
        <v>数字化摄影CR（加收）</v>
      </c>
      <c r="B118" s="1">
        <v>20</v>
      </c>
      <c r="C118" s="1">
        <v>1</v>
      </c>
      <c r="D118" s="1" t="str">
        <f>"次"</f>
        <v>次</v>
      </c>
      <c r="E118" s="1" t="str">
        <f t="shared" si="37"/>
        <v>放射费</v>
      </c>
    </row>
    <row r="119" spans="1:5">
      <c r="A119" s="1" t="str">
        <f>"下咽造影"</f>
        <v>下咽造影</v>
      </c>
      <c r="B119" s="1">
        <v>30</v>
      </c>
      <c r="C119" s="1" t="str">
        <f t="shared" ref="C119:C128" si="38">"次"</f>
        <v>次</v>
      </c>
      <c r="D119" s="1" t="str">
        <f t="shared" ref="D119:D128" si="39">"次"</f>
        <v>次</v>
      </c>
      <c r="E119" s="1" t="str">
        <f t="shared" ref="E119:E128" si="40">"放射费"</f>
        <v>放射费</v>
      </c>
    </row>
    <row r="120" spans="1:5">
      <c r="A120" s="1" t="str">
        <f>"食管造影"</f>
        <v>食管造影</v>
      </c>
      <c r="B120" s="1">
        <v>30</v>
      </c>
      <c r="C120" s="1" t="str">
        <f>"-"</f>
        <v>-</v>
      </c>
      <c r="D120" s="1" t="str">
        <f t="shared" si="39"/>
        <v>次</v>
      </c>
      <c r="E120" s="1" t="str">
        <f t="shared" si="40"/>
        <v>放射费</v>
      </c>
    </row>
    <row r="121" spans="1:5">
      <c r="A121" s="1" t="str">
        <f>"上消化道造影"</f>
        <v>上消化道造影</v>
      </c>
      <c r="B121" s="1">
        <v>60</v>
      </c>
      <c r="C121" s="1" t="str">
        <f t="shared" si="38"/>
        <v>次</v>
      </c>
      <c r="D121" s="1" t="str">
        <f t="shared" si="39"/>
        <v>次</v>
      </c>
      <c r="E121" s="1" t="str">
        <f t="shared" si="40"/>
        <v>放射费</v>
      </c>
    </row>
    <row r="122" spans="1:5">
      <c r="A122" s="1" t="str">
        <f>"口服法小肠造影"</f>
        <v>口服法小肠造影</v>
      </c>
      <c r="B122" s="1">
        <v>50</v>
      </c>
      <c r="C122" s="1" t="str">
        <f t="shared" si="38"/>
        <v>次</v>
      </c>
      <c r="D122" s="1" t="str">
        <f t="shared" si="39"/>
        <v>次</v>
      </c>
      <c r="E122" s="1" t="str">
        <f t="shared" si="40"/>
        <v>放射费</v>
      </c>
    </row>
    <row r="123" spans="1:5">
      <c r="A123" s="1" t="str">
        <f>"钡灌肠大肠造影"</f>
        <v>钡灌肠大肠造影</v>
      </c>
      <c r="B123" s="1">
        <v>55</v>
      </c>
      <c r="C123" s="1" t="str">
        <f t="shared" si="38"/>
        <v>次</v>
      </c>
      <c r="D123" s="1" t="str">
        <f t="shared" si="39"/>
        <v>次</v>
      </c>
      <c r="E123" s="1" t="str">
        <f t="shared" si="40"/>
        <v>放射费</v>
      </c>
    </row>
    <row r="124" spans="1:5">
      <c r="A124" s="1" t="str">
        <f>"口服法胆道造影"</f>
        <v>口服法胆道造影</v>
      </c>
      <c r="B124" s="1">
        <v>50</v>
      </c>
      <c r="C124" s="1" t="str">
        <f t="shared" si="38"/>
        <v>次</v>
      </c>
      <c r="D124" s="1" t="str">
        <f t="shared" si="39"/>
        <v>次</v>
      </c>
      <c r="E124" s="1" t="str">
        <f t="shared" si="40"/>
        <v>放射费</v>
      </c>
    </row>
    <row r="125" spans="1:5">
      <c r="A125" s="1" t="str">
        <f>"静脉泌尿系造影"</f>
        <v>静脉泌尿系造影</v>
      </c>
      <c r="B125" s="1">
        <v>50</v>
      </c>
      <c r="C125" s="1" t="str">
        <f t="shared" si="38"/>
        <v>次</v>
      </c>
      <c r="D125" s="1" t="str">
        <f t="shared" si="39"/>
        <v>次</v>
      </c>
      <c r="E125" s="1" t="str">
        <f t="shared" si="40"/>
        <v>放射费</v>
      </c>
    </row>
    <row r="126" spans="1:5">
      <c r="A126" s="1" t="str">
        <f>"逆行泌尿系造影"</f>
        <v>逆行泌尿系造影</v>
      </c>
      <c r="B126" s="1">
        <v>50</v>
      </c>
      <c r="C126" s="1" t="str">
        <f t="shared" si="38"/>
        <v>次</v>
      </c>
      <c r="D126" s="1" t="str">
        <f t="shared" si="39"/>
        <v>次</v>
      </c>
      <c r="E126" s="1" t="str">
        <f t="shared" si="40"/>
        <v>放射费</v>
      </c>
    </row>
    <row r="127" spans="1:5">
      <c r="A127" s="1" t="str">
        <f>"膀胱造影"</f>
        <v>膀胱造影</v>
      </c>
      <c r="B127" s="1">
        <v>30</v>
      </c>
      <c r="C127" s="1" t="str">
        <f t="shared" si="38"/>
        <v>次</v>
      </c>
      <c r="D127" s="1" t="str">
        <f t="shared" si="39"/>
        <v>次</v>
      </c>
      <c r="E127" s="1" t="str">
        <f t="shared" si="40"/>
        <v>放射费</v>
      </c>
    </row>
    <row r="128" spans="1:5">
      <c r="A128" s="1" t="str">
        <f>"子宫输卵管碘油造影"</f>
        <v>子宫输卵管碘油造影</v>
      </c>
      <c r="B128" s="1">
        <v>25</v>
      </c>
      <c r="C128" s="1" t="str">
        <f t="shared" si="38"/>
        <v>次</v>
      </c>
      <c r="D128" s="1" t="str">
        <f t="shared" si="39"/>
        <v>次</v>
      </c>
      <c r="E128" s="1" t="str">
        <f t="shared" si="40"/>
        <v>放射费</v>
      </c>
    </row>
    <row r="129" spans="1:5">
      <c r="A129" s="1" t="str">
        <f>"磁共振平扫（胫腓骨）"</f>
        <v>磁共振平扫（胫腓骨）</v>
      </c>
      <c r="B129" s="1">
        <v>155</v>
      </c>
      <c r="C129" s="1" t="str">
        <f t="shared" ref="C129:C153" si="41">"项"</f>
        <v>项</v>
      </c>
      <c r="D129" s="1" t="str">
        <f t="shared" ref="D129:D184" si="42">"部位"</f>
        <v>部位</v>
      </c>
      <c r="E129" s="1" t="str">
        <f t="shared" ref="E129:E188" si="43">"核磁共振"</f>
        <v>核磁共振</v>
      </c>
    </row>
    <row r="130" spans="1:5">
      <c r="A130" s="1" t="str">
        <f>"磁共振平扫（口腔）"</f>
        <v>磁共振平扫（口腔）</v>
      </c>
      <c r="B130" s="1">
        <v>155</v>
      </c>
      <c r="C130" s="1" t="str">
        <f t="shared" si="41"/>
        <v>项</v>
      </c>
      <c r="D130" s="1" t="str">
        <f t="shared" si="42"/>
        <v>部位</v>
      </c>
      <c r="E130" s="1" t="str">
        <f t="shared" si="43"/>
        <v>核磁共振</v>
      </c>
    </row>
    <row r="131" spans="1:5">
      <c r="A131" s="1" t="str">
        <f>"磁共振平扫（颅脑）"</f>
        <v>磁共振平扫（颅脑）</v>
      </c>
      <c r="B131" s="1">
        <v>155</v>
      </c>
      <c r="C131" s="1" t="str">
        <f t="shared" si="41"/>
        <v>项</v>
      </c>
      <c r="D131" s="1" t="str">
        <f t="shared" si="42"/>
        <v>部位</v>
      </c>
      <c r="E131" s="1" t="str">
        <f t="shared" si="43"/>
        <v>核磁共振</v>
      </c>
    </row>
    <row r="132" spans="1:5">
      <c r="A132" s="1" t="str">
        <f>"磁共振平扫（内耳）"</f>
        <v>磁共振平扫（内耳）</v>
      </c>
      <c r="B132" s="1">
        <v>155</v>
      </c>
      <c r="C132" s="1" t="str">
        <f t="shared" si="41"/>
        <v>项</v>
      </c>
      <c r="D132" s="1" t="str">
        <f t="shared" si="42"/>
        <v>部位</v>
      </c>
      <c r="E132" s="1" t="str">
        <f t="shared" si="43"/>
        <v>核磁共振</v>
      </c>
    </row>
    <row r="133" spans="1:5">
      <c r="A133" s="1" t="str">
        <f>"磁共振平扫（颞颌关节）"</f>
        <v>磁共振平扫（颞颌关节）</v>
      </c>
      <c r="B133" s="1">
        <v>155</v>
      </c>
      <c r="C133" s="1" t="str">
        <f t="shared" si="41"/>
        <v>项</v>
      </c>
      <c r="D133" s="1" t="str">
        <f t="shared" si="42"/>
        <v>部位</v>
      </c>
      <c r="E133" s="1" t="str">
        <f t="shared" si="43"/>
        <v>核磁共振</v>
      </c>
    </row>
    <row r="134" spans="1:5">
      <c r="A134" s="1" t="str">
        <f>"磁共振平扫（前列腺）"</f>
        <v>磁共振平扫（前列腺）</v>
      </c>
      <c r="B134" s="1">
        <v>155</v>
      </c>
      <c r="C134" s="1" t="str">
        <f t="shared" si="41"/>
        <v>项</v>
      </c>
      <c r="D134" s="1" t="str">
        <f t="shared" si="42"/>
        <v>部位</v>
      </c>
      <c r="E134" s="1" t="str">
        <f t="shared" si="43"/>
        <v>核磁共振</v>
      </c>
    </row>
    <row r="135" spans="1:5">
      <c r="A135" s="1" t="str">
        <f>"磁共振平扫（乳腺）"</f>
        <v>磁共振平扫（乳腺）</v>
      </c>
      <c r="B135" s="1">
        <v>155</v>
      </c>
      <c r="C135" s="1" t="str">
        <f t="shared" si="41"/>
        <v>项</v>
      </c>
      <c r="D135" s="1" t="str">
        <f t="shared" si="42"/>
        <v>部位</v>
      </c>
      <c r="E135" s="1" t="str">
        <f t="shared" si="43"/>
        <v>核磁共振</v>
      </c>
    </row>
    <row r="136" spans="1:5">
      <c r="A136" s="1" t="str">
        <f>"磁共振平扫（上腹部）"</f>
        <v>磁共振平扫（上腹部）</v>
      </c>
      <c r="B136" s="1">
        <v>155</v>
      </c>
      <c r="C136" s="1" t="str">
        <f t="shared" si="41"/>
        <v>项</v>
      </c>
      <c r="D136" s="1" t="str">
        <f t="shared" si="42"/>
        <v>部位</v>
      </c>
      <c r="E136" s="1" t="str">
        <f t="shared" si="43"/>
        <v>核磁共振</v>
      </c>
    </row>
    <row r="137" spans="1:5">
      <c r="A137" s="1" t="str">
        <f>"磁共振平扫（尺桡骨）"</f>
        <v>磁共振平扫（尺桡骨）</v>
      </c>
      <c r="B137" s="1">
        <v>155</v>
      </c>
      <c r="C137" s="1" t="str">
        <f t="shared" si="41"/>
        <v>项</v>
      </c>
      <c r="D137" s="1" t="str">
        <f t="shared" si="42"/>
        <v>部位</v>
      </c>
      <c r="E137" s="1" t="str">
        <f t="shared" si="43"/>
        <v>核磁共振</v>
      </c>
    </row>
    <row r="138" spans="1:5">
      <c r="A138" s="1" t="str">
        <f>"磁共振平扫（手）"</f>
        <v>磁共振平扫（手）</v>
      </c>
      <c r="B138" s="1">
        <v>155</v>
      </c>
      <c r="C138" s="1" t="str">
        <f t="shared" si="41"/>
        <v>项</v>
      </c>
      <c r="D138" s="1" t="str">
        <f t="shared" si="42"/>
        <v>部位</v>
      </c>
      <c r="E138" s="1" t="str">
        <f t="shared" si="43"/>
        <v>核磁共振</v>
      </c>
    </row>
    <row r="139" spans="1:5">
      <c r="A139" s="1" t="str">
        <f>"磁共振平扫（双髋关节）"</f>
        <v>磁共振平扫（双髋关节）</v>
      </c>
      <c r="B139" s="1">
        <v>155</v>
      </c>
      <c r="C139" s="1" t="str">
        <f t="shared" si="41"/>
        <v>项</v>
      </c>
      <c r="D139" s="1" t="str">
        <f t="shared" si="42"/>
        <v>部位</v>
      </c>
      <c r="E139" s="1" t="str">
        <f t="shared" si="43"/>
        <v>核磁共振</v>
      </c>
    </row>
    <row r="140" spans="1:5">
      <c r="A140" s="1" t="str">
        <f>"磁共振平扫（腕关节）"</f>
        <v>磁共振平扫（腕关节）</v>
      </c>
      <c r="B140" s="1">
        <v>155</v>
      </c>
      <c r="C140" s="1" t="str">
        <f t="shared" si="41"/>
        <v>项</v>
      </c>
      <c r="D140" s="1" t="str">
        <f t="shared" si="42"/>
        <v>部位</v>
      </c>
      <c r="E140" s="1" t="str">
        <f t="shared" si="43"/>
        <v>核磁共振</v>
      </c>
    </row>
    <row r="141" spans="1:5">
      <c r="A141" s="1" t="str">
        <f>"磁共振平扫（胸椎）"</f>
        <v>磁共振平扫（胸椎）</v>
      </c>
      <c r="B141" s="1">
        <v>155</v>
      </c>
      <c r="C141" s="1" t="str">
        <f t="shared" si="41"/>
        <v>项</v>
      </c>
      <c r="D141" s="1" t="str">
        <f t="shared" si="42"/>
        <v>部位</v>
      </c>
      <c r="E141" s="1" t="str">
        <f t="shared" si="43"/>
        <v>核磁共振</v>
      </c>
    </row>
    <row r="142" spans="1:5">
      <c r="A142" s="1" t="str">
        <f>"磁共振平扫（眼眶）"</f>
        <v>磁共振平扫（眼眶）</v>
      </c>
      <c r="B142" s="1">
        <v>155</v>
      </c>
      <c r="C142" s="1" t="str">
        <f t="shared" si="41"/>
        <v>项</v>
      </c>
      <c r="D142" s="1" t="str">
        <f t="shared" si="42"/>
        <v>部位</v>
      </c>
      <c r="E142" s="1" t="str">
        <f t="shared" si="43"/>
        <v>核磁共振</v>
      </c>
    </row>
    <row r="143" spans="1:5">
      <c r="A143" s="1" t="str">
        <f>"磁共振平扫（腰椎）"</f>
        <v>磁共振平扫（腰椎）</v>
      </c>
      <c r="B143" s="1">
        <v>155</v>
      </c>
      <c r="C143" s="1" t="str">
        <f t="shared" si="41"/>
        <v>项</v>
      </c>
      <c r="D143" s="1" t="str">
        <f t="shared" si="42"/>
        <v>部位</v>
      </c>
      <c r="E143" s="1" t="str">
        <f t="shared" si="43"/>
        <v>核磁共振</v>
      </c>
    </row>
    <row r="144" spans="1:5">
      <c r="A144" s="1" t="str">
        <f>"磁共振平扫（中腹部）"</f>
        <v>磁共振平扫（中腹部）</v>
      </c>
      <c r="B144" s="1">
        <v>155</v>
      </c>
      <c r="C144" s="1" t="str">
        <f t="shared" si="41"/>
        <v>项</v>
      </c>
      <c r="D144" s="1" t="str">
        <f t="shared" si="42"/>
        <v>部位</v>
      </c>
      <c r="E144" s="1" t="str">
        <f t="shared" si="43"/>
        <v>核磁共振</v>
      </c>
    </row>
    <row r="145" spans="1:5">
      <c r="A145" s="1" t="str">
        <f>"磁共振平扫（肘关节）"</f>
        <v>磁共振平扫（肘关节）</v>
      </c>
      <c r="B145" s="1">
        <v>155</v>
      </c>
      <c r="C145" s="1" t="str">
        <f t="shared" si="41"/>
        <v>项</v>
      </c>
      <c r="D145" s="1" t="str">
        <f t="shared" si="42"/>
        <v>部位</v>
      </c>
      <c r="E145" s="1" t="str">
        <f t="shared" si="43"/>
        <v>核磁共振</v>
      </c>
    </row>
    <row r="146" spans="1:5">
      <c r="A146" s="1" t="str">
        <f>"磁共振平扫（足）"</f>
        <v>磁共振平扫（足）</v>
      </c>
      <c r="B146" s="1">
        <v>155</v>
      </c>
      <c r="C146" s="1" t="str">
        <f t="shared" si="41"/>
        <v>项</v>
      </c>
      <c r="D146" s="1" t="str">
        <f t="shared" si="42"/>
        <v>部位</v>
      </c>
      <c r="E146" s="1" t="str">
        <f t="shared" si="43"/>
        <v>核磁共振</v>
      </c>
    </row>
    <row r="147" spans="1:5">
      <c r="A147" s="1" t="str">
        <f>"磁共振平扫（副鼻窦）"</f>
        <v>磁共振平扫（副鼻窦）</v>
      </c>
      <c r="B147" s="1">
        <v>155</v>
      </c>
      <c r="C147" s="1" t="str">
        <f t="shared" si="41"/>
        <v>项</v>
      </c>
      <c r="D147" s="1" t="str">
        <f t="shared" si="42"/>
        <v>部位</v>
      </c>
      <c r="E147" s="1" t="str">
        <f t="shared" si="43"/>
        <v>核磁共振</v>
      </c>
    </row>
    <row r="148" spans="1:5">
      <c r="A148" s="1" t="str">
        <f>"磁共振平扫（肱骨）"</f>
        <v>磁共振平扫（肱骨）</v>
      </c>
      <c r="B148" s="1">
        <v>155</v>
      </c>
      <c r="C148" s="1" t="str">
        <f t="shared" si="41"/>
        <v>项</v>
      </c>
      <c r="D148" s="1" t="str">
        <f t="shared" si="42"/>
        <v>部位</v>
      </c>
      <c r="E148" s="1" t="str">
        <f t="shared" si="43"/>
        <v>核磁共振</v>
      </c>
    </row>
    <row r="149" spans="1:5">
      <c r="A149" s="1" t="str">
        <f>"磁共振平扫（股骨）"</f>
        <v>磁共振平扫（股骨）</v>
      </c>
      <c r="B149" s="1">
        <v>155</v>
      </c>
      <c r="C149" s="1" t="str">
        <f t="shared" si="41"/>
        <v>项</v>
      </c>
      <c r="D149" s="1" t="str">
        <f t="shared" si="42"/>
        <v>部位</v>
      </c>
      <c r="E149" s="1" t="str">
        <f t="shared" si="43"/>
        <v>核磁共振</v>
      </c>
    </row>
    <row r="150" spans="1:5">
      <c r="A150" s="1" t="str">
        <f>"磁共振平扫（喉部）"</f>
        <v>磁共振平扫（喉部）</v>
      </c>
      <c r="B150" s="1">
        <v>155</v>
      </c>
      <c r="C150" s="1" t="str">
        <f t="shared" si="41"/>
        <v>项</v>
      </c>
      <c r="D150" s="1" t="str">
        <f t="shared" si="42"/>
        <v>部位</v>
      </c>
      <c r="E150" s="1" t="str">
        <f t="shared" si="43"/>
        <v>核磁共振</v>
      </c>
    </row>
    <row r="151" spans="1:5">
      <c r="A151" s="1" t="str">
        <f>"磁共振平扫（踝关节）"</f>
        <v>磁共振平扫（踝关节）</v>
      </c>
      <c r="B151" s="1">
        <v>155</v>
      </c>
      <c r="C151" s="1" t="str">
        <f t="shared" si="41"/>
        <v>项</v>
      </c>
      <c r="D151" s="1" t="str">
        <f t="shared" si="42"/>
        <v>部位</v>
      </c>
      <c r="E151" s="1" t="str">
        <f t="shared" si="43"/>
        <v>核磁共振</v>
      </c>
    </row>
    <row r="152" spans="1:5">
      <c r="A152" s="1" t="str">
        <f>"磁共振平扫（肩关节）"</f>
        <v>磁共振平扫（肩关节）</v>
      </c>
      <c r="B152" s="1">
        <v>155</v>
      </c>
      <c r="C152" s="1" t="str">
        <f t="shared" si="41"/>
        <v>项</v>
      </c>
      <c r="D152" s="1" t="str">
        <f t="shared" si="42"/>
        <v>部位</v>
      </c>
      <c r="E152" s="1" t="str">
        <f t="shared" si="43"/>
        <v>核磁共振</v>
      </c>
    </row>
    <row r="153" spans="1:5">
      <c r="A153" s="1" t="str">
        <f>"磁共振平扫（颈部）"</f>
        <v>磁共振平扫（颈部）</v>
      </c>
      <c r="B153" s="1">
        <v>155</v>
      </c>
      <c r="C153" s="1" t="str">
        <f t="shared" si="41"/>
        <v>项</v>
      </c>
      <c r="D153" s="1" t="str">
        <f t="shared" si="42"/>
        <v>部位</v>
      </c>
      <c r="E153" s="1" t="str">
        <f t="shared" si="43"/>
        <v>核磁共振</v>
      </c>
    </row>
    <row r="154" spans="1:5">
      <c r="A154" s="1" t="str">
        <f>"磁共振平扫（盆腔）"</f>
        <v>磁共振平扫（盆腔）</v>
      </c>
      <c r="B154" s="1">
        <v>450</v>
      </c>
      <c r="C154" s="1" t="str">
        <f>"次"</f>
        <v>次</v>
      </c>
      <c r="D154" s="1" t="str">
        <f t="shared" si="42"/>
        <v>部位</v>
      </c>
      <c r="E154" s="1" t="str">
        <f t="shared" si="43"/>
        <v>核磁共振</v>
      </c>
    </row>
    <row r="155" spans="1:5">
      <c r="A155" s="1" t="str">
        <f>"磁共振增强扫描（尺桡骨）"</f>
        <v>磁共振增强扫描（尺桡骨）</v>
      </c>
      <c r="B155" s="1">
        <v>175</v>
      </c>
      <c r="C155" s="1" t="str">
        <f t="shared" ref="C155:C184" si="44">"项"</f>
        <v>项</v>
      </c>
      <c r="D155" s="1" t="str">
        <f t="shared" si="42"/>
        <v>部位</v>
      </c>
      <c r="E155" s="1" t="str">
        <f t="shared" si="43"/>
        <v>核磁共振</v>
      </c>
    </row>
    <row r="156" spans="1:5">
      <c r="A156" s="1" t="str">
        <f>"磁共振增强扫描（胫腓股）"</f>
        <v>磁共振增强扫描（胫腓股）</v>
      </c>
      <c r="B156" s="1">
        <v>175</v>
      </c>
      <c r="C156" s="1" t="str">
        <f t="shared" si="44"/>
        <v>项</v>
      </c>
      <c r="D156" s="1" t="str">
        <f t="shared" si="42"/>
        <v>部位</v>
      </c>
      <c r="E156" s="1" t="str">
        <f t="shared" si="43"/>
        <v>核磁共振</v>
      </c>
    </row>
    <row r="157" spans="1:5">
      <c r="A157" s="1" t="str">
        <f>"磁共振增强扫描（口腔）"</f>
        <v>磁共振增强扫描（口腔）</v>
      </c>
      <c r="B157" s="1">
        <v>175</v>
      </c>
      <c r="C157" s="1" t="str">
        <f t="shared" si="44"/>
        <v>项</v>
      </c>
      <c r="D157" s="1" t="str">
        <f t="shared" si="42"/>
        <v>部位</v>
      </c>
      <c r="E157" s="1" t="str">
        <f t="shared" si="43"/>
        <v>核磁共振</v>
      </c>
    </row>
    <row r="158" spans="1:5">
      <c r="A158" s="1" t="str">
        <f>"磁共振增强扫描(颅脑）"</f>
        <v>磁共振增强扫描(颅脑）</v>
      </c>
      <c r="B158" s="1">
        <v>175</v>
      </c>
      <c r="C158" s="1" t="str">
        <f t="shared" si="44"/>
        <v>项</v>
      </c>
      <c r="D158" s="1" t="str">
        <f t="shared" si="42"/>
        <v>部位</v>
      </c>
      <c r="E158" s="1" t="str">
        <f t="shared" si="43"/>
        <v>核磁共振</v>
      </c>
    </row>
    <row r="159" spans="1:5">
      <c r="A159" s="1" t="str">
        <f>"磁共振增强扫描（内耳）"</f>
        <v>磁共振增强扫描（内耳）</v>
      </c>
      <c r="B159" s="1">
        <v>175</v>
      </c>
      <c r="C159" s="1" t="str">
        <f t="shared" si="44"/>
        <v>项</v>
      </c>
      <c r="D159" s="1" t="str">
        <f t="shared" si="42"/>
        <v>部位</v>
      </c>
      <c r="E159" s="1" t="str">
        <f t="shared" si="43"/>
        <v>核磁共振</v>
      </c>
    </row>
    <row r="160" spans="1:5">
      <c r="A160" s="1" t="str">
        <f>"磁共振增强扫描（颞颌关节）"</f>
        <v>磁共振增强扫描（颞颌关节）</v>
      </c>
      <c r="B160" s="1">
        <v>175</v>
      </c>
      <c r="C160" s="1" t="str">
        <f t="shared" si="44"/>
        <v>项</v>
      </c>
      <c r="D160" s="1" t="str">
        <f t="shared" si="42"/>
        <v>部位</v>
      </c>
      <c r="E160" s="1" t="str">
        <f t="shared" si="43"/>
        <v>核磁共振</v>
      </c>
    </row>
    <row r="161" spans="1:5">
      <c r="A161" s="1" t="str">
        <f>"磁共振增强扫描（盆腔）"</f>
        <v>磁共振增强扫描（盆腔）</v>
      </c>
      <c r="B161" s="1">
        <v>175</v>
      </c>
      <c r="C161" s="1" t="str">
        <f t="shared" si="44"/>
        <v>项</v>
      </c>
      <c r="D161" s="1" t="str">
        <f t="shared" si="42"/>
        <v>部位</v>
      </c>
      <c r="E161" s="1" t="str">
        <f t="shared" si="43"/>
        <v>核磁共振</v>
      </c>
    </row>
    <row r="162" spans="1:5">
      <c r="A162" s="1" t="str">
        <f>"磁共振增强扫描（前列腺）"</f>
        <v>磁共振增强扫描（前列腺）</v>
      </c>
      <c r="B162" s="1">
        <v>175</v>
      </c>
      <c r="C162" s="1" t="str">
        <f t="shared" si="44"/>
        <v>项</v>
      </c>
      <c r="D162" s="1" t="str">
        <f t="shared" si="42"/>
        <v>部位</v>
      </c>
      <c r="E162" s="1" t="str">
        <f t="shared" si="43"/>
        <v>核磁共振</v>
      </c>
    </row>
    <row r="163" spans="1:5">
      <c r="A163" s="1" t="str">
        <f>"磁共振增强扫描（乳腺）"</f>
        <v>磁共振增强扫描（乳腺）</v>
      </c>
      <c r="B163" s="1">
        <v>175</v>
      </c>
      <c r="C163" s="1" t="str">
        <f t="shared" si="44"/>
        <v>项</v>
      </c>
      <c r="D163" s="1" t="str">
        <f t="shared" si="42"/>
        <v>部位</v>
      </c>
      <c r="E163" s="1" t="str">
        <f t="shared" si="43"/>
        <v>核磁共振</v>
      </c>
    </row>
    <row r="164" spans="1:5">
      <c r="A164" s="1" t="str">
        <f>"磁共振增强扫描（上腹部）"</f>
        <v>磁共振增强扫描（上腹部）</v>
      </c>
      <c r="B164" s="1">
        <v>175</v>
      </c>
      <c r="C164" s="1" t="str">
        <f t="shared" si="44"/>
        <v>项</v>
      </c>
      <c r="D164" s="1" t="str">
        <f t="shared" si="42"/>
        <v>部位</v>
      </c>
      <c r="E164" s="1" t="str">
        <f t="shared" si="43"/>
        <v>核磁共振</v>
      </c>
    </row>
    <row r="165" spans="1:5">
      <c r="A165" s="1" t="str">
        <f>"磁共振增强扫描（手）"</f>
        <v>磁共振增强扫描（手）</v>
      </c>
      <c r="B165" s="1">
        <v>175</v>
      </c>
      <c r="C165" s="1" t="str">
        <f t="shared" si="44"/>
        <v>项</v>
      </c>
      <c r="D165" s="1" t="str">
        <f t="shared" si="42"/>
        <v>部位</v>
      </c>
      <c r="E165" s="1" t="str">
        <f t="shared" si="43"/>
        <v>核磁共振</v>
      </c>
    </row>
    <row r="166" spans="1:5">
      <c r="A166" s="1" t="str">
        <f>"磁共振增强扫描（副鼻窦）"</f>
        <v>磁共振增强扫描（副鼻窦）</v>
      </c>
      <c r="B166" s="1">
        <v>175</v>
      </c>
      <c r="C166" s="1" t="str">
        <f t="shared" si="44"/>
        <v>项</v>
      </c>
      <c r="D166" s="1" t="str">
        <f t="shared" si="42"/>
        <v>部位</v>
      </c>
      <c r="E166" s="1" t="str">
        <f t="shared" si="43"/>
        <v>核磁共振</v>
      </c>
    </row>
    <row r="167" spans="1:5">
      <c r="A167" s="1" t="str">
        <f>"磁共振增强扫描（双髋关节）"</f>
        <v>磁共振增强扫描（双髋关节）</v>
      </c>
      <c r="B167" s="1">
        <v>175</v>
      </c>
      <c r="C167" s="1" t="str">
        <f t="shared" si="44"/>
        <v>项</v>
      </c>
      <c r="D167" s="1" t="str">
        <f t="shared" si="42"/>
        <v>部位</v>
      </c>
      <c r="E167" s="1" t="str">
        <f t="shared" si="43"/>
        <v>核磁共振</v>
      </c>
    </row>
    <row r="168" spans="1:5">
      <c r="A168" s="1" t="str">
        <f>"磁共振增强扫描（腕关节）"</f>
        <v>磁共振增强扫描（腕关节）</v>
      </c>
      <c r="B168" s="1">
        <v>175</v>
      </c>
      <c r="C168" s="1" t="str">
        <f t="shared" si="44"/>
        <v>项</v>
      </c>
      <c r="D168" s="1" t="str">
        <f t="shared" si="42"/>
        <v>部位</v>
      </c>
      <c r="E168" s="1" t="str">
        <f t="shared" si="43"/>
        <v>核磁共振</v>
      </c>
    </row>
    <row r="169" spans="1:5">
      <c r="A169" s="1" t="str">
        <f>"磁共振增强扫描（膝关节）"</f>
        <v>磁共振增强扫描（膝关节）</v>
      </c>
      <c r="B169" s="1">
        <v>175</v>
      </c>
      <c r="C169" s="1" t="str">
        <f t="shared" si="44"/>
        <v>项</v>
      </c>
      <c r="D169" s="1" t="str">
        <f t="shared" si="42"/>
        <v>部位</v>
      </c>
      <c r="E169" s="1" t="str">
        <f t="shared" si="43"/>
        <v>核磁共振</v>
      </c>
    </row>
    <row r="170" spans="1:5">
      <c r="A170" s="1" t="str">
        <f>"磁共振增强扫描（胸椎）"</f>
        <v>磁共振增强扫描（胸椎）</v>
      </c>
      <c r="B170" s="1">
        <v>175</v>
      </c>
      <c r="C170" s="1" t="str">
        <f t="shared" si="44"/>
        <v>项</v>
      </c>
      <c r="D170" s="1" t="str">
        <f t="shared" si="42"/>
        <v>部位</v>
      </c>
      <c r="E170" s="1" t="str">
        <f t="shared" si="43"/>
        <v>核磁共振</v>
      </c>
    </row>
    <row r="171" spans="1:5">
      <c r="A171" s="1" t="str">
        <f>"磁共振增强扫描（眼眶）"</f>
        <v>磁共振增强扫描（眼眶）</v>
      </c>
      <c r="B171" s="1">
        <v>175</v>
      </c>
      <c r="C171" s="1" t="str">
        <f t="shared" si="44"/>
        <v>项</v>
      </c>
      <c r="D171" s="1" t="str">
        <f t="shared" si="42"/>
        <v>部位</v>
      </c>
      <c r="E171" s="1" t="str">
        <f t="shared" si="43"/>
        <v>核磁共振</v>
      </c>
    </row>
    <row r="172" spans="1:5">
      <c r="A172" s="1" t="str">
        <f>"磁共振增强扫描（腰椎）"</f>
        <v>磁共振增强扫描（腰椎）</v>
      </c>
      <c r="B172" s="1">
        <v>175</v>
      </c>
      <c r="C172" s="1" t="str">
        <f t="shared" si="44"/>
        <v>项</v>
      </c>
      <c r="D172" s="1" t="str">
        <f t="shared" si="42"/>
        <v>部位</v>
      </c>
      <c r="E172" s="1" t="str">
        <f t="shared" si="43"/>
        <v>核磁共振</v>
      </c>
    </row>
    <row r="173" spans="1:5">
      <c r="A173" s="1" t="str">
        <f>"磁共振增强扫描（中腹部）"</f>
        <v>磁共振增强扫描（中腹部）</v>
      </c>
      <c r="B173" s="1">
        <v>175</v>
      </c>
      <c r="C173" s="1" t="str">
        <f t="shared" si="44"/>
        <v>项</v>
      </c>
      <c r="D173" s="1" t="str">
        <f t="shared" si="42"/>
        <v>部位</v>
      </c>
      <c r="E173" s="1" t="str">
        <f t="shared" si="43"/>
        <v>核磁共振</v>
      </c>
    </row>
    <row r="174" spans="1:5">
      <c r="A174" s="1" t="str">
        <f>"磁共振增强扫描（肘关节）"</f>
        <v>磁共振增强扫描（肘关节）</v>
      </c>
      <c r="B174" s="1">
        <v>175</v>
      </c>
      <c r="C174" s="1" t="str">
        <f t="shared" si="44"/>
        <v>项</v>
      </c>
      <c r="D174" s="1" t="str">
        <f t="shared" si="42"/>
        <v>部位</v>
      </c>
      <c r="E174" s="1" t="str">
        <f t="shared" si="43"/>
        <v>核磁共振</v>
      </c>
    </row>
    <row r="175" spans="1:5">
      <c r="A175" s="1" t="str">
        <f>"磁共振增强扫描（足）"</f>
        <v>磁共振增强扫描（足）</v>
      </c>
      <c r="B175" s="1">
        <v>175</v>
      </c>
      <c r="C175" s="1" t="str">
        <f t="shared" si="44"/>
        <v>项</v>
      </c>
      <c r="D175" s="1" t="str">
        <f t="shared" si="42"/>
        <v>部位</v>
      </c>
      <c r="E175" s="1" t="str">
        <f t="shared" si="43"/>
        <v>核磁共振</v>
      </c>
    </row>
    <row r="176" spans="1:5">
      <c r="A176" s="1" t="str">
        <f>"磁共振增强扫描（鼻咽）"</f>
        <v>磁共振增强扫描（鼻咽）</v>
      </c>
      <c r="B176" s="1">
        <v>175</v>
      </c>
      <c r="C176" s="1" t="str">
        <f t="shared" si="44"/>
        <v>项</v>
      </c>
      <c r="D176" s="1" t="str">
        <f t="shared" si="42"/>
        <v>部位</v>
      </c>
      <c r="E176" s="1" t="str">
        <f t="shared" si="43"/>
        <v>核磁共振</v>
      </c>
    </row>
    <row r="177" spans="1:5">
      <c r="A177" s="1" t="str">
        <f>"磁共振增强扫描（肱骨）"</f>
        <v>磁共振增强扫描（肱骨）</v>
      </c>
      <c r="B177" s="1">
        <v>175</v>
      </c>
      <c r="C177" s="1" t="str">
        <f t="shared" si="44"/>
        <v>项</v>
      </c>
      <c r="D177" s="1" t="str">
        <f t="shared" si="42"/>
        <v>部位</v>
      </c>
      <c r="E177" s="1" t="str">
        <f t="shared" si="43"/>
        <v>核磁共振</v>
      </c>
    </row>
    <row r="178" spans="1:5">
      <c r="A178" s="1" t="str">
        <f>"磁共振增强扫描（股骨）"</f>
        <v>磁共振增强扫描（股骨）</v>
      </c>
      <c r="B178" s="1">
        <v>175</v>
      </c>
      <c r="C178" s="1" t="str">
        <f t="shared" si="44"/>
        <v>项</v>
      </c>
      <c r="D178" s="1" t="str">
        <f t="shared" si="42"/>
        <v>部位</v>
      </c>
      <c r="E178" s="1" t="str">
        <f t="shared" si="43"/>
        <v>核磁共振</v>
      </c>
    </row>
    <row r="179" spans="1:5">
      <c r="A179" s="1" t="str">
        <f>"磁共振增强扫描（喉）"</f>
        <v>磁共振增强扫描（喉）</v>
      </c>
      <c r="B179" s="1">
        <v>175</v>
      </c>
      <c r="C179" s="1" t="str">
        <f t="shared" si="44"/>
        <v>项</v>
      </c>
      <c r="D179" s="1" t="str">
        <f t="shared" si="42"/>
        <v>部位</v>
      </c>
      <c r="E179" s="1" t="str">
        <f t="shared" si="43"/>
        <v>核磁共振</v>
      </c>
    </row>
    <row r="180" spans="1:5">
      <c r="A180" s="1" t="str">
        <f>"磁共振增强扫描（踝关节）"</f>
        <v>磁共振增强扫描（踝关节）</v>
      </c>
      <c r="B180" s="1">
        <v>175</v>
      </c>
      <c r="C180" s="1" t="str">
        <f t="shared" si="44"/>
        <v>项</v>
      </c>
      <c r="D180" s="1" t="str">
        <f t="shared" si="42"/>
        <v>部位</v>
      </c>
      <c r="E180" s="1" t="str">
        <f t="shared" si="43"/>
        <v>核磁共振</v>
      </c>
    </row>
    <row r="181" spans="1:5">
      <c r="A181" s="1" t="str">
        <f>"磁共振增强扫描（肩关节）"</f>
        <v>磁共振增强扫描（肩关节）</v>
      </c>
      <c r="B181" s="1">
        <v>175</v>
      </c>
      <c r="C181" s="1" t="str">
        <f t="shared" si="44"/>
        <v>项</v>
      </c>
      <c r="D181" s="1" t="str">
        <f t="shared" si="42"/>
        <v>部位</v>
      </c>
      <c r="E181" s="1" t="str">
        <f t="shared" si="43"/>
        <v>核磁共振</v>
      </c>
    </row>
    <row r="182" spans="1:5">
      <c r="A182" s="1" t="str">
        <f>"磁共振增强扫描（颈部）"</f>
        <v>磁共振增强扫描（颈部）</v>
      </c>
      <c r="B182" s="1">
        <v>175</v>
      </c>
      <c r="C182" s="1" t="str">
        <f t="shared" si="44"/>
        <v>项</v>
      </c>
      <c r="D182" s="1" t="str">
        <f t="shared" si="42"/>
        <v>部位</v>
      </c>
      <c r="E182" s="1" t="str">
        <f t="shared" si="43"/>
        <v>核磁共振</v>
      </c>
    </row>
    <row r="183" spans="1:5">
      <c r="A183" s="1" t="str">
        <f>"磁共振增强扫描（颈椎）"</f>
        <v>磁共振增强扫描（颈椎）</v>
      </c>
      <c r="B183" s="1">
        <v>175</v>
      </c>
      <c r="C183" s="1" t="str">
        <f t="shared" si="44"/>
        <v>项</v>
      </c>
      <c r="D183" s="1" t="str">
        <f t="shared" si="42"/>
        <v>部位</v>
      </c>
      <c r="E183" s="1" t="str">
        <f t="shared" si="43"/>
        <v>核磁共振</v>
      </c>
    </row>
    <row r="184" spans="1:5">
      <c r="A184" s="1" t="str">
        <f>"磁共振增强扫描（场强0.5-1.5）"</f>
        <v>磁共振增强扫描（场强0.5-1.5）</v>
      </c>
      <c r="B184" s="1">
        <v>250</v>
      </c>
      <c r="C184" s="1" t="str">
        <f t="shared" si="44"/>
        <v>项</v>
      </c>
      <c r="D184" s="1" t="str">
        <f t="shared" si="42"/>
        <v>部位</v>
      </c>
      <c r="E184" s="1" t="str">
        <f t="shared" si="43"/>
        <v>核磁共振</v>
      </c>
    </row>
    <row r="185" spans="1:5">
      <c r="A185" s="1" t="str">
        <f>"磁共振水成像"</f>
        <v>磁共振水成像</v>
      </c>
      <c r="B185" s="1">
        <v>50</v>
      </c>
      <c r="C185" s="1" t="str">
        <f t="shared" ref="C185:C188" si="45">"每项"</f>
        <v>每项</v>
      </c>
      <c r="D185" s="1" t="str">
        <f t="shared" ref="D185:D188" si="46">"项"</f>
        <v>项</v>
      </c>
      <c r="E185" s="1" t="str">
        <f t="shared" si="43"/>
        <v>核磁共振</v>
      </c>
    </row>
    <row r="186" spans="1:5">
      <c r="A186" s="1" t="str">
        <f>"磁共振血管成像（MRA）"</f>
        <v>磁共振血管成像（MRA）</v>
      </c>
      <c r="B186" s="1">
        <v>50</v>
      </c>
      <c r="C186" s="1" t="str">
        <f t="shared" si="45"/>
        <v>每项</v>
      </c>
      <c r="D186" s="1" t="str">
        <f t="shared" si="46"/>
        <v>项</v>
      </c>
      <c r="E186" s="1" t="str">
        <f t="shared" si="43"/>
        <v>核磁共振</v>
      </c>
    </row>
    <row r="187" spans="1:5">
      <c r="A187" s="1" t="str">
        <f>"磁共振脑功能成像"</f>
        <v>磁共振脑功能成像</v>
      </c>
      <c r="B187" s="1">
        <v>50</v>
      </c>
      <c r="C187" s="1" t="str">
        <f t="shared" si="45"/>
        <v>每项</v>
      </c>
      <c r="D187" s="1" t="str">
        <f t="shared" si="46"/>
        <v>项</v>
      </c>
      <c r="E187" s="1" t="str">
        <f t="shared" si="43"/>
        <v>核磁共振</v>
      </c>
    </row>
    <row r="188" spans="1:5">
      <c r="A188" s="1" t="str">
        <f>"磁共振波普成像（MRSI）"</f>
        <v>磁共振波普成像（MRSI）</v>
      </c>
      <c r="B188" s="1">
        <v>50</v>
      </c>
      <c r="C188" s="1" t="str">
        <f t="shared" si="45"/>
        <v>每项</v>
      </c>
      <c r="D188" s="1" t="str">
        <f t="shared" si="46"/>
        <v>项</v>
      </c>
      <c r="E188" s="1" t="str">
        <f t="shared" si="43"/>
        <v>核磁共振</v>
      </c>
    </row>
    <row r="189" spans="1:5">
      <c r="A189" s="1" t="str">
        <f>"CT平扫(颞下颌关节)"</f>
        <v>CT平扫(颞下颌关节)</v>
      </c>
      <c r="B189" s="1">
        <v>50</v>
      </c>
      <c r="C189" s="1">
        <v>1</v>
      </c>
      <c r="D189" s="1" t="str">
        <f t="shared" ref="D189:D192" si="47">"每部位"</f>
        <v>每部位</v>
      </c>
      <c r="E189" s="1" t="str">
        <f t="shared" ref="E189:E208" si="48">"CT费"</f>
        <v>CT费</v>
      </c>
    </row>
    <row r="190" spans="1:5">
      <c r="A190" s="1" t="str">
        <f>"CT平扫(上颌骨)"</f>
        <v>CT平扫(上颌骨)</v>
      </c>
      <c r="B190" s="1">
        <v>50</v>
      </c>
      <c r="C190" s="1">
        <v>1</v>
      </c>
      <c r="D190" s="1" t="str">
        <f t="shared" si="47"/>
        <v>每部位</v>
      </c>
      <c r="E190" s="1" t="str">
        <f t="shared" si="48"/>
        <v>CT费</v>
      </c>
    </row>
    <row r="191" spans="1:5">
      <c r="A191" s="1" t="str">
        <f>"CT平扫（下颌骨）"</f>
        <v>CT平扫（下颌骨）</v>
      </c>
      <c r="B191" s="1">
        <v>50</v>
      </c>
      <c r="C191" s="1">
        <v>1</v>
      </c>
      <c r="D191" s="1" t="str">
        <f t="shared" si="47"/>
        <v>每部位</v>
      </c>
      <c r="E191" s="1" t="str">
        <f t="shared" si="48"/>
        <v>CT费</v>
      </c>
    </row>
    <row r="192" spans="1:5">
      <c r="A192" s="1" t="str">
        <f>"螺旋CT平扫（肱骨）"</f>
        <v>螺旋CT平扫（肱骨）</v>
      </c>
      <c r="B192" s="1">
        <v>90</v>
      </c>
      <c r="C192" s="1">
        <v>1</v>
      </c>
      <c r="D192" s="1" t="str">
        <f t="shared" si="47"/>
        <v>每部位</v>
      </c>
      <c r="E192" s="1" t="str">
        <f t="shared" si="48"/>
        <v>CT费</v>
      </c>
    </row>
    <row r="193" spans="1:5">
      <c r="A193" s="1" t="str">
        <f>"平扫—螺旋CT（心脏）"</f>
        <v>平扫—螺旋CT（心脏）</v>
      </c>
      <c r="B193" s="1">
        <v>90</v>
      </c>
      <c r="C193" s="1">
        <v>1</v>
      </c>
      <c r="D193" s="1" t="str">
        <f t="shared" ref="D193:D203" si="49">"每次"</f>
        <v>每次</v>
      </c>
      <c r="E193" s="1" t="str">
        <f t="shared" si="48"/>
        <v>CT费</v>
      </c>
    </row>
    <row r="194" spans="1:5">
      <c r="A194" s="1" t="str">
        <f>"多排螺旋CT平扫（颅脑）"</f>
        <v>多排螺旋CT平扫（颅脑）</v>
      </c>
      <c r="B194" s="1">
        <v>90</v>
      </c>
      <c r="C194" s="1" t="str">
        <f t="shared" ref="C194:C198" si="50">"部位"</f>
        <v>部位</v>
      </c>
      <c r="D194" s="1" t="str">
        <f>"每部位"</f>
        <v>每部位</v>
      </c>
      <c r="E194" s="1" t="str">
        <f t="shared" si="48"/>
        <v>CT费</v>
      </c>
    </row>
    <row r="195" spans="1:5">
      <c r="A195" s="1" t="str">
        <f>"CT增强扫描（颅脑）"</f>
        <v>CT增强扫描（颅脑）</v>
      </c>
      <c r="B195" s="1">
        <v>80</v>
      </c>
      <c r="C195" s="1" t="str">
        <f t="shared" si="50"/>
        <v>部位</v>
      </c>
      <c r="D195" s="1" t="str">
        <f t="shared" si="49"/>
        <v>每次</v>
      </c>
      <c r="E195" s="1" t="str">
        <f t="shared" si="48"/>
        <v>CT费</v>
      </c>
    </row>
    <row r="196" spans="1:5">
      <c r="A196" s="1" t="str">
        <f>"CT增强扫描（盆腔）"</f>
        <v>CT增强扫描（盆腔）</v>
      </c>
      <c r="B196" s="1">
        <v>80</v>
      </c>
      <c r="C196" s="1" t="str">
        <f t="shared" si="50"/>
        <v>部位</v>
      </c>
      <c r="D196" s="1" t="str">
        <f t="shared" si="49"/>
        <v>每次</v>
      </c>
      <c r="E196" s="1" t="str">
        <f t="shared" si="48"/>
        <v>CT费</v>
      </c>
    </row>
    <row r="197" spans="1:5">
      <c r="A197" s="1" t="str">
        <f>"CT增强扫描（上腹部）"</f>
        <v>CT增强扫描（上腹部）</v>
      </c>
      <c r="B197" s="1">
        <v>80</v>
      </c>
      <c r="C197" s="1" t="str">
        <f t="shared" si="50"/>
        <v>部位</v>
      </c>
      <c r="D197" s="1" t="str">
        <f t="shared" si="49"/>
        <v>每次</v>
      </c>
      <c r="E197" s="1" t="str">
        <f t="shared" si="48"/>
        <v>CT费</v>
      </c>
    </row>
    <row r="198" spans="1:5">
      <c r="A198" s="1" t="str">
        <f>"CT增强扫描（双髋关节）"</f>
        <v>CT增强扫描（双髋关节）</v>
      </c>
      <c r="B198" s="1">
        <v>80</v>
      </c>
      <c r="C198" s="1" t="str">
        <f t="shared" si="50"/>
        <v>部位</v>
      </c>
      <c r="D198" s="1" t="str">
        <f t="shared" si="49"/>
        <v>每次</v>
      </c>
      <c r="E198" s="1" t="str">
        <f t="shared" si="48"/>
        <v>CT费</v>
      </c>
    </row>
    <row r="199" spans="1:5">
      <c r="A199" s="1" t="str">
        <f>"CT增强扫描（双膝关节）"</f>
        <v>CT增强扫描（双膝关节）</v>
      </c>
      <c r="B199" s="1">
        <v>80</v>
      </c>
      <c r="C199" s="1">
        <v>1</v>
      </c>
      <c r="D199" s="1" t="str">
        <f t="shared" si="49"/>
        <v>每次</v>
      </c>
      <c r="E199" s="1" t="str">
        <f t="shared" si="48"/>
        <v>CT费</v>
      </c>
    </row>
    <row r="200" spans="1:5">
      <c r="A200" s="1" t="str">
        <f>"CT增强扫描（下腹部）"</f>
        <v>CT增强扫描（下腹部）</v>
      </c>
      <c r="B200" s="1">
        <v>80</v>
      </c>
      <c r="C200" s="1">
        <v>1</v>
      </c>
      <c r="D200" s="1" t="str">
        <f t="shared" si="49"/>
        <v>每次</v>
      </c>
      <c r="E200" s="1" t="str">
        <f t="shared" si="48"/>
        <v>CT费</v>
      </c>
    </row>
    <row r="201" spans="1:5">
      <c r="A201" s="1" t="str">
        <f>"CT增强扫描（心脏）"</f>
        <v>CT增强扫描（心脏）</v>
      </c>
      <c r="B201" s="1">
        <v>80</v>
      </c>
      <c r="C201" s="1">
        <v>1</v>
      </c>
      <c r="D201" s="1" t="str">
        <f t="shared" si="49"/>
        <v>每次</v>
      </c>
      <c r="E201" s="1" t="str">
        <f t="shared" si="48"/>
        <v>CT费</v>
      </c>
    </row>
    <row r="202" spans="1:5">
      <c r="A202" s="1" t="str">
        <f>"CT增强扫描（胸部）"</f>
        <v>CT增强扫描（胸部）</v>
      </c>
      <c r="B202" s="1">
        <v>80</v>
      </c>
      <c r="C202" s="1">
        <v>1</v>
      </c>
      <c r="D202" s="1" t="str">
        <f t="shared" si="49"/>
        <v>每次</v>
      </c>
      <c r="E202" s="1" t="str">
        <f t="shared" si="48"/>
        <v>CT费</v>
      </c>
    </row>
    <row r="203" spans="1:5">
      <c r="A203" s="1" t="str">
        <f>"CT增强扫描（椎体）"</f>
        <v>CT增强扫描（椎体）</v>
      </c>
      <c r="B203" s="1">
        <v>80</v>
      </c>
      <c r="C203" s="1">
        <v>1</v>
      </c>
      <c r="D203" s="1" t="str">
        <f t="shared" si="49"/>
        <v>每次</v>
      </c>
      <c r="E203" s="1" t="str">
        <f t="shared" si="48"/>
        <v>CT费</v>
      </c>
    </row>
    <row r="204" spans="1:5">
      <c r="A204" s="1" t="str">
        <f>"多排螺旋CT增强扫描(双膝关节)"</f>
        <v>多排螺旋CT增强扫描(双膝关节)</v>
      </c>
      <c r="B204" s="1">
        <v>190</v>
      </c>
      <c r="C204" s="1" t="str">
        <f>"部位"</f>
        <v>部位</v>
      </c>
      <c r="D204" s="1" t="str">
        <f>"每部位"</f>
        <v>每部位</v>
      </c>
      <c r="E204" s="1" t="str">
        <f t="shared" si="48"/>
        <v>CT费</v>
      </c>
    </row>
    <row r="205" spans="1:5">
      <c r="A205" s="1" t="str">
        <f>"多排螺旋CT增强扫描(胸部)"</f>
        <v>多排螺旋CT增强扫描(胸部)</v>
      </c>
      <c r="B205" s="1">
        <v>190</v>
      </c>
      <c r="C205" s="1" t="str">
        <f>"部位"</f>
        <v>部位</v>
      </c>
      <c r="D205" s="1" t="str">
        <f>"每部位"</f>
        <v>每部位</v>
      </c>
      <c r="E205" s="1" t="str">
        <f t="shared" si="48"/>
        <v>CT费</v>
      </c>
    </row>
    <row r="206" spans="1:5">
      <c r="A206" s="1" t="str">
        <f>"CT成像"</f>
        <v>CT成像</v>
      </c>
      <c r="B206" s="1">
        <v>55</v>
      </c>
      <c r="C206" s="1">
        <v>1</v>
      </c>
      <c r="D206" s="1" t="str">
        <f t="shared" ref="D206:D209" si="51">"次"</f>
        <v>次</v>
      </c>
      <c r="E206" s="1" t="str">
        <f t="shared" si="48"/>
        <v>CT费</v>
      </c>
    </row>
    <row r="207" spans="1:5">
      <c r="A207" s="1" t="str">
        <f>"X线计算机体层(CT)成象（三维成象）"</f>
        <v>X线计算机体层(CT)成象（三维成象）</v>
      </c>
      <c r="B207" s="1">
        <v>55</v>
      </c>
      <c r="C207" s="1" t="str">
        <f>"项"</f>
        <v>项</v>
      </c>
      <c r="D207" s="1" t="str">
        <f>"项"</f>
        <v>项</v>
      </c>
      <c r="E207" s="1" t="str">
        <f t="shared" si="48"/>
        <v>CT费</v>
      </c>
    </row>
    <row r="208" spans="1:5">
      <c r="A208" s="1" t="str">
        <f>"CT三维成象"</f>
        <v>CT三维成象</v>
      </c>
      <c r="B208" s="1">
        <v>55</v>
      </c>
      <c r="C208" s="1" t="str">
        <f>"次"</f>
        <v>次</v>
      </c>
      <c r="D208" s="1" t="str">
        <f t="shared" si="51"/>
        <v>次</v>
      </c>
      <c r="E208" s="1" t="str">
        <f t="shared" si="48"/>
        <v>CT费</v>
      </c>
    </row>
    <row r="209" spans="1:5">
      <c r="A209" s="1" t="str">
        <f>"院外影像学会诊"</f>
        <v>院外影像学会诊</v>
      </c>
      <c r="B209" s="1">
        <v>40</v>
      </c>
      <c r="C209" s="1" t="str">
        <f>"次"</f>
        <v>次</v>
      </c>
      <c r="D209" s="1" t="str">
        <f t="shared" si="51"/>
        <v>次</v>
      </c>
      <c r="E209" s="1" t="str">
        <f>"放射费"</f>
        <v>放射费</v>
      </c>
    </row>
    <row r="210" spans="1:5">
      <c r="A210" s="1" t="str">
        <f>"红外线乳腺检查"</f>
        <v>红外线乳腺检查</v>
      </c>
      <c r="B210" s="1">
        <v>40</v>
      </c>
      <c r="C210" s="1" t="str">
        <f>"单侧"</f>
        <v>单侧</v>
      </c>
      <c r="D210" s="1" t="str">
        <f>"单侧"</f>
        <v>单侧</v>
      </c>
      <c r="E210" s="1" t="str">
        <f>"检查费"</f>
        <v>检查费</v>
      </c>
    </row>
    <row r="211" spans="1:5">
      <c r="A211" s="1" t="str">
        <f>"单脏器B超检查"</f>
        <v>单脏器B超检查</v>
      </c>
      <c r="B211" s="1">
        <v>10</v>
      </c>
      <c r="C211" s="1" t="str">
        <f t="shared" ref="C211:C216" si="52">"次"</f>
        <v>次</v>
      </c>
      <c r="D211" s="1" t="str">
        <f t="shared" ref="D211:D216" si="53">"次"</f>
        <v>次</v>
      </c>
      <c r="E211" s="1" t="str">
        <f t="shared" ref="E211:E213" si="54">"超声费"</f>
        <v>超声费</v>
      </c>
    </row>
    <row r="212" spans="1:5">
      <c r="A212" s="1" t="str">
        <f>"单脏器B超检查每增加一个脏器检查加收"</f>
        <v>单脏器B超检查每增加一个脏器检查加收</v>
      </c>
      <c r="B212" s="1">
        <v>5</v>
      </c>
      <c r="C212" s="1" t="str">
        <f t="shared" si="52"/>
        <v>次</v>
      </c>
      <c r="D212" s="1" t="str">
        <f t="shared" si="53"/>
        <v>次</v>
      </c>
      <c r="E212" s="1" t="str">
        <f t="shared" si="54"/>
        <v>超声费</v>
      </c>
    </row>
    <row r="213" spans="1:5">
      <c r="A213" s="1" t="str">
        <f>"B超常规检查"</f>
        <v>B超常规检查</v>
      </c>
      <c r="B213" s="1">
        <v>30</v>
      </c>
      <c r="C213" s="1" t="str">
        <f t="shared" si="52"/>
        <v>次</v>
      </c>
      <c r="D213" s="1" t="str">
        <f t="shared" si="53"/>
        <v>次</v>
      </c>
      <c r="E213" s="1" t="str">
        <f t="shared" si="54"/>
        <v>超声费</v>
      </c>
    </row>
    <row r="214" spans="1:5">
      <c r="A214" s="1" t="str">
        <f>"胸腹水B超检查及穿刺定位"</f>
        <v>胸腹水B超检查及穿刺定位</v>
      </c>
      <c r="B214" s="1">
        <v>30</v>
      </c>
      <c r="C214" s="1" t="str">
        <f t="shared" si="52"/>
        <v>次</v>
      </c>
      <c r="D214" s="1" t="str">
        <f t="shared" si="53"/>
        <v>次</v>
      </c>
      <c r="E214" s="1" t="str">
        <f>"彩超费"</f>
        <v>彩超费</v>
      </c>
    </row>
    <row r="215" spans="1:5">
      <c r="A215" s="1" t="str">
        <f>"大肠灌肠造影B超检查"</f>
        <v>大肠灌肠造影B超检查</v>
      </c>
      <c r="B215" s="1">
        <v>30</v>
      </c>
      <c r="C215" s="1" t="str">
        <f t="shared" si="52"/>
        <v>次</v>
      </c>
      <c r="D215" s="1" t="str">
        <f t="shared" si="53"/>
        <v>次</v>
      </c>
      <c r="E215" s="1" t="str">
        <f t="shared" ref="E215:E217" si="55">"超声费"</f>
        <v>超声费</v>
      </c>
    </row>
    <row r="216" spans="1:5">
      <c r="A216" s="1" t="str">
        <f>"输卵管超声造影"</f>
        <v>输卵管超声造影</v>
      </c>
      <c r="B216" s="1">
        <v>30</v>
      </c>
      <c r="C216" s="1" t="str">
        <f t="shared" si="52"/>
        <v>次</v>
      </c>
      <c r="D216" s="1" t="str">
        <f t="shared" si="53"/>
        <v>次</v>
      </c>
      <c r="E216" s="1" t="str">
        <f t="shared" si="55"/>
        <v>超声费</v>
      </c>
    </row>
    <row r="217" spans="1:5">
      <c r="A217" s="1" t="str">
        <f>"浅表组织器官B超检查"</f>
        <v>浅表组织器官B超检查</v>
      </c>
      <c r="B217" s="1">
        <v>25</v>
      </c>
      <c r="C217" s="1" t="str">
        <f>"每个部位"</f>
        <v>每个部位</v>
      </c>
      <c r="D217" s="1" t="str">
        <f>"每个部位"</f>
        <v>每个部位</v>
      </c>
      <c r="E217" s="1" t="str">
        <f t="shared" si="55"/>
        <v>超声费</v>
      </c>
    </row>
    <row r="218" spans="1:5">
      <c r="A218" s="1" t="str">
        <f>"床旁B超检查"</f>
        <v>床旁B超检查</v>
      </c>
      <c r="B218" s="1">
        <v>30</v>
      </c>
      <c r="C218" s="1" t="str">
        <f>"半小时"</f>
        <v>半小时</v>
      </c>
      <c r="D218" s="1" t="str">
        <f>"半小时"</f>
        <v>半小时</v>
      </c>
      <c r="E218" s="1" t="str">
        <f t="shared" ref="E218:E237" si="56">"彩超费"</f>
        <v>彩超费</v>
      </c>
    </row>
    <row r="219" spans="1:5">
      <c r="A219" s="1" t="str">
        <f>"临床操作的B超引导"</f>
        <v>临床操作的B超引导</v>
      </c>
      <c r="B219" s="1">
        <v>50</v>
      </c>
      <c r="C219" s="1" t="str">
        <f>"次"</f>
        <v>次</v>
      </c>
      <c r="D219" s="1" t="str">
        <f t="shared" ref="D219:D221" si="57">"次"</f>
        <v>次</v>
      </c>
      <c r="E219" s="1" t="str">
        <f>"超声费"</f>
        <v>超声费</v>
      </c>
    </row>
    <row r="220" spans="1:5">
      <c r="A220" s="1" t="str">
        <f>"临床操作的腔内B超引导"</f>
        <v>临床操作的腔内B超引导</v>
      </c>
      <c r="B220" s="1">
        <v>60</v>
      </c>
      <c r="C220" s="1" t="str">
        <f>"次"</f>
        <v>次</v>
      </c>
      <c r="D220" s="1" t="str">
        <f t="shared" si="57"/>
        <v>次</v>
      </c>
      <c r="E220" s="1" t="str">
        <f>"超声费"</f>
        <v>超声费</v>
      </c>
    </row>
    <row r="221" spans="1:5">
      <c r="A221" s="1" t="str">
        <f>"膀胱残余尿测定"</f>
        <v>膀胱残余尿测定</v>
      </c>
      <c r="B221" s="1">
        <v>25</v>
      </c>
      <c r="C221" s="1">
        <v>1</v>
      </c>
      <c r="D221" s="1" t="str">
        <f t="shared" si="57"/>
        <v>次</v>
      </c>
      <c r="E221" s="1" t="str">
        <f t="shared" si="56"/>
        <v>彩超费</v>
      </c>
    </row>
    <row r="222" spans="1:5">
      <c r="A222" s="1" t="str">
        <f>"彩色多普勒超声常规检查"</f>
        <v>彩色多普勒超声常规检查</v>
      </c>
      <c r="B222" s="1">
        <v>50</v>
      </c>
      <c r="C222" s="1">
        <v>1</v>
      </c>
      <c r="D222" s="1" t="str">
        <f t="shared" ref="D222:D230" si="58">"部位"</f>
        <v>部位</v>
      </c>
      <c r="E222" s="1" t="str">
        <f t="shared" si="56"/>
        <v>彩超费</v>
      </c>
    </row>
    <row r="223" spans="1:5">
      <c r="A223" s="1" t="str">
        <f>"彩色多普勒超声常规检查（乳腺）"</f>
        <v>彩色多普勒超声常规检查（乳腺）</v>
      </c>
      <c r="B223" s="1">
        <v>35</v>
      </c>
      <c r="C223" s="1" t="str">
        <f t="shared" ref="C223:C232" si="59">"项"</f>
        <v>项</v>
      </c>
      <c r="D223" s="1" t="str">
        <f t="shared" si="58"/>
        <v>部位</v>
      </c>
      <c r="E223" s="1" t="str">
        <f t="shared" si="56"/>
        <v>彩超费</v>
      </c>
    </row>
    <row r="224" spans="1:5">
      <c r="A224" s="1" t="str">
        <f>"彩色多普勒超声常规检查(妇科)"</f>
        <v>彩色多普勒超声常规检查(妇科)</v>
      </c>
      <c r="B224" s="1">
        <v>35</v>
      </c>
      <c r="C224" s="1" t="str">
        <f t="shared" si="59"/>
        <v>项</v>
      </c>
      <c r="D224" s="1" t="str">
        <f t="shared" si="58"/>
        <v>部位</v>
      </c>
      <c r="E224" s="1" t="str">
        <f t="shared" si="56"/>
        <v>彩超费</v>
      </c>
    </row>
    <row r="225" spans="1:5">
      <c r="A225" s="1" t="str">
        <f>"彩色多普勒超声常规检查（妇科）"</f>
        <v>彩色多普勒超声常规检查（妇科）</v>
      </c>
      <c r="B225" s="1">
        <v>50</v>
      </c>
      <c r="C225" s="1" t="str">
        <f t="shared" si="59"/>
        <v>项</v>
      </c>
      <c r="D225" s="1" t="str">
        <f t="shared" si="58"/>
        <v>部位</v>
      </c>
      <c r="E225" s="1" t="str">
        <f t="shared" si="56"/>
        <v>彩超费</v>
      </c>
    </row>
    <row r="226" spans="1:5">
      <c r="A226" s="1" t="str">
        <f>"彩色多普勒超声常规检查（腹部）"</f>
        <v>彩色多普勒超声常规检查（腹部）</v>
      </c>
      <c r="B226" s="1">
        <v>50</v>
      </c>
      <c r="C226" s="1" t="str">
        <f t="shared" si="59"/>
        <v>项</v>
      </c>
      <c r="D226" s="1" t="str">
        <f t="shared" si="58"/>
        <v>部位</v>
      </c>
      <c r="E226" s="1" t="str">
        <f t="shared" si="56"/>
        <v>彩超费</v>
      </c>
    </row>
    <row r="227" spans="1:5">
      <c r="A227" s="1" t="str">
        <f>"彩色多普勒超声常规检查(泌尿系）"</f>
        <v>彩色多普勒超声常规检查(泌尿系）</v>
      </c>
      <c r="B227" s="1">
        <v>50</v>
      </c>
      <c r="C227" s="1" t="str">
        <f t="shared" si="59"/>
        <v>项</v>
      </c>
      <c r="D227" s="1" t="str">
        <f t="shared" si="58"/>
        <v>部位</v>
      </c>
      <c r="E227" s="1" t="str">
        <f t="shared" si="56"/>
        <v>彩超费</v>
      </c>
    </row>
    <row r="228" spans="1:5">
      <c r="A228" s="1" t="str">
        <f>"彩色多普勒超声常规检查（胃肠系）"</f>
        <v>彩色多普勒超声常规检查（胃肠系）</v>
      </c>
      <c r="B228" s="1">
        <v>50</v>
      </c>
      <c r="C228" s="1" t="str">
        <f t="shared" si="59"/>
        <v>项</v>
      </c>
      <c r="D228" s="1" t="str">
        <f t="shared" si="58"/>
        <v>部位</v>
      </c>
      <c r="E228" s="1" t="str">
        <f t="shared" si="56"/>
        <v>彩超费</v>
      </c>
    </row>
    <row r="229" spans="1:5">
      <c r="A229" s="1" t="str">
        <f>"彩色多普勒超声常规检查（胸部）"</f>
        <v>彩色多普勒超声常规检查（胸部）</v>
      </c>
      <c r="B229" s="1">
        <v>50</v>
      </c>
      <c r="C229" s="1" t="str">
        <f t="shared" si="59"/>
        <v>项</v>
      </c>
      <c r="D229" s="1" t="str">
        <f t="shared" si="58"/>
        <v>部位</v>
      </c>
      <c r="E229" s="1" t="str">
        <f t="shared" si="56"/>
        <v>彩超费</v>
      </c>
    </row>
    <row r="230" spans="1:5">
      <c r="A230" s="1" t="str">
        <f>"彩色多普勒超声常规检查(产科)"</f>
        <v>彩色多普勒超声常规检查(产科)</v>
      </c>
      <c r="B230" s="1">
        <v>50</v>
      </c>
      <c r="C230" s="1" t="str">
        <f t="shared" si="59"/>
        <v>项</v>
      </c>
      <c r="D230" s="1" t="str">
        <f t="shared" si="58"/>
        <v>部位</v>
      </c>
      <c r="E230" s="1" t="str">
        <f t="shared" si="56"/>
        <v>彩超费</v>
      </c>
    </row>
    <row r="231" spans="1:5">
      <c r="A231" s="1" t="str">
        <f>"浅表器官彩色多普勒超声检查"</f>
        <v>浅表器官彩色多普勒超声检查</v>
      </c>
      <c r="B231" s="1">
        <v>50</v>
      </c>
      <c r="C231" s="1" t="str">
        <f t="shared" si="59"/>
        <v>项</v>
      </c>
      <c r="D231" s="1" t="str">
        <f t="shared" ref="D231:D235" si="60">"每个 部位"</f>
        <v>每个 部位</v>
      </c>
      <c r="E231" s="1" t="str">
        <f t="shared" si="56"/>
        <v>彩超费</v>
      </c>
    </row>
    <row r="232" spans="1:5">
      <c r="A232" s="1" t="str">
        <f>"浅表器官彩色多普勒超声检查(阴囊、双侧睾丸、附睾)"</f>
        <v>浅表器官彩色多普勒超声检查(阴囊、双侧睾丸、附睾)</v>
      </c>
      <c r="B232" s="1">
        <v>50</v>
      </c>
      <c r="C232" s="1" t="str">
        <f t="shared" si="59"/>
        <v>项</v>
      </c>
      <c r="D232" s="1" t="str">
        <f t="shared" si="60"/>
        <v>每个 部位</v>
      </c>
      <c r="E232" s="1" t="str">
        <f t="shared" si="56"/>
        <v>彩超费</v>
      </c>
    </row>
    <row r="233" spans="1:5">
      <c r="A233" s="1" t="str">
        <f>"浅表器官彩色多普勒超声检查(关节)"</f>
        <v>浅表器官彩色多普勒超声检查(关节)</v>
      </c>
      <c r="B233" s="1">
        <v>50</v>
      </c>
      <c r="C233" s="1" t="str">
        <f t="shared" ref="C233:C235" si="61">"次"</f>
        <v>次</v>
      </c>
      <c r="D233" s="1" t="str">
        <f t="shared" ref="D233:D237" si="62">"每个部位"</f>
        <v>每个部位</v>
      </c>
      <c r="E233" s="1" t="str">
        <f t="shared" si="56"/>
        <v>彩超费</v>
      </c>
    </row>
    <row r="234" spans="1:5">
      <c r="A234" s="1" t="str">
        <f>"浅表器官彩色多普勒超声检查(甲状腺及颈部淋巴结)"</f>
        <v>浅表器官彩色多普勒超声检查(甲状腺及颈部淋巴结)</v>
      </c>
      <c r="B234" s="1">
        <v>50</v>
      </c>
      <c r="C234" s="1" t="str">
        <f t="shared" si="61"/>
        <v>次</v>
      </c>
      <c r="D234" s="1" t="str">
        <f t="shared" si="62"/>
        <v>每个部位</v>
      </c>
      <c r="E234" s="1" t="str">
        <f t="shared" si="56"/>
        <v>彩超费</v>
      </c>
    </row>
    <row r="235" spans="1:5">
      <c r="A235" s="1" t="str">
        <f>"浅表器官彩色多普勒超声检查(乳腺及其引流区淋巴结)"</f>
        <v>浅表器官彩色多普勒超声检查(乳腺及其引流区淋巴结)</v>
      </c>
      <c r="B235" s="1">
        <v>50</v>
      </c>
      <c r="C235" s="1" t="str">
        <f t="shared" si="61"/>
        <v>次</v>
      </c>
      <c r="D235" s="1" t="str">
        <f t="shared" si="60"/>
        <v>每个 部位</v>
      </c>
      <c r="E235" s="1" t="str">
        <f t="shared" si="56"/>
        <v>彩超费</v>
      </c>
    </row>
    <row r="236" spans="1:5">
      <c r="A236" s="1" t="str">
        <f>"浅表器官彩色多普勒超声检查（体表肿块）"</f>
        <v>浅表器官彩色多普勒超声检查（体表肿块）</v>
      </c>
      <c r="B236" s="1">
        <v>50</v>
      </c>
      <c r="C236" s="1" t="str">
        <f>"项"</f>
        <v>项</v>
      </c>
      <c r="D236" s="1" t="str">
        <f t="shared" si="62"/>
        <v>每个部位</v>
      </c>
      <c r="E236" s="1" t="str">
        <f t="shared" si="56"/>
        <v>彩超费</v>
      </c>
    </row>
    <row r="237" spans="1:5">
      <c r="A237" s="1" t="str">
        <f>"浅表器官彩色多普勒超声检查（乳腺及其引流区淋巴结）"</f>
        <v>浅表器官彩色多普勒超声检查（乳腺及其引流区淋巴结）</v>
      </c>
      <c r="B237" s="1" t="str">
        <f>"0"</f>
        <v>0</v>
      </c>
      <c r="C237" s="1" t="str">
        <f>"每个部位"</f>
        <v>每个部位</v>
      </c>
      <c r="D237" s="1" t="str">
        <f t="shared" si="62"/>
        <v>每个部位</v>
      </c>
      <c r="E237" s="1" t="str">
        <f t="shared" si="56"/>
        <v>彩超费</v>
      </c>
    </row>
    <row r="238" spans="1:5">
      <c r="A238" s="1" t="str">
        <f>"颅内段血管彩色多普勒超声"</f>
        <v>颅内段血管彩色多普勒超声</v>
      </c>
      <c r="B238" s="1">
        <v>40</v>
      </c>
      <c r="C238" s="1" t="str">
        <f>"次"</f>
        <v>次</v>
      </c>
      <c r="D238" s="1" t="str">
        <f t="shared" ref="D238:D241" si="63">"次"</f>
        <v>次</v>
      </c>
      <c r="E238" s="1" t="str">
        <f>"超声费"</f>
        <v>超声费</v>
      </c>
    </row>
    <row r="239" spans="1:5">
      <c r="A239" s="1" t="str">
        <f>"颈部血管彩色多普勒超声"</f>
        <v>颈部血管彩色多普勒超声</v>
      </c>
      <c r="B239" s="1">
        <v>35</v>
      </c>
      <c r="C239" s="1" t="str">
        <f>"次"</f>
        <v>次</v>
      </c>
      <c r="D239" s="1" t="str">
        <f>"每根"</f>
        <v>每根</v>
      </c>
      <c r="E239" s="1" t="str">
        <f t="shared" ref="E239:E245" si="64">"彩超费"</f>
        <v>彩超费</v>
      </c>
    </row>
    <row r="240" spans="1:5">
      <c r="A240" s="1" t="str">
        <f>"门静脉系彩色多普勒超声"</f>
        <v>门静脉系彩色多普勒超声</v>
      </c>
      <c r="B240" s="1">
        <v>35</v>
      </c>
      <c r="C240" s="1" t="str">
        <f>"人次"</f>
        <v>人次</v>
      </c>
      <c r="D240" s="1" t="str">
        <f t="shared" si="63"/>
        <v>次</v>
      </c>
      <c r="E240" s="1" t="str">
        <f t="shared" si="64"/>
        <v>彩超费</v>
      </c>
    </row>
    <row r="241" spans="1:5">
      <c r="A241" s="1" t="str">
        <f>"腹部大血管彩色多普勒超声"</f>
        <v>腹部大血管彩色多普勒超声</v>
      </c>
      <c r="B241" s="1">
        <v>40</v>
      </c>
      <c r="C241" s="1" t="str">
        <f>"人次"</f>
        <v>人次</v>
      </c>
      <c r="D241" s="1" t="str">
        <f t="shared" si="63"/>
        <v>次</v>
      </c>
      <c r="E241" s="1" t="str">
        <f t="shared" si="64"/>
        <v>彩超费</v>
      </c>
    </row>
    <row r="242" spans="1:5">
      <c r="A242" s="1" t="str">
        <f>"四肢血管彩色多普勒超声"</f>
        <v>四肢血管彩色多普勒超声</v>
      </c>
      <c r="B242" s="1">
        <v>35</v>
      </c>
      <c r="C242" s="1" t="str">
        <f t="shared" ref="C242:C244" si="65">"项"</f>
        <v>项</v>
      </c>
      <c r="D242" s="1" t="str">
        <f>"每肢"</f>
        <v>每肢</v>
      </c>
      <c r="E242" s="1" t="str">
        <f t="shared" si="64"/>
        <v>彩超费</v>
      </c>
    </row>
    <row r="243" spans="1:5">
      <c r="A243" s="1" t="str">
        <f>"双下肢血管彩色多普勒超声"</f>
        <v>双下肢血管彩色多普勒超声</v>
      </c>
      <c r="B243" s="1">
        <v>35</v>
      </c>
      <c r="C243" s="1" t="str">
        <f t="shared" si="65"/>
        <v>项</v>
      </c>
      <c r="D243" s="1" t="str">
        <f>"项"</f>
        <v>项</v>
      </c>
      <c r="E243" s="1" t="str">
        <f t="shared" si="64"/>
        <v>彩超费</v>
      </c>
    </row>
    <row r="244" spans="1:5">
      <c r="A244" s="1" t="str">
        <f>"双肾及肾血管彩色多普勒超声"</f>
        <v>双肾及肾血管彩色多普勒超声</v>
      </c>
      <c r="B244" s="1">
        <v>35</v>
      </c>
      <c r="C244" s="1" t="str">
        <f t="shared" si="65"/>
        <v>项</v>
      </c>
      <c r="D244" s="1" t="str">
        <f t="shared" ref="D244:D248" si="66">"次"</f>
        <v>次</v>
      </c>
      <c r="E244" s="1" t="str">
        <f t="shared" si="64"/>
        <v>彩超费</v>
      </c>
    </row>
    <row r="245" spans="1:5">
      <c r="A245" s="1" t="str">
        <f>"腔内彩色多普勒超声检查"</f>
        <v>腔内彩色多普勒超声检查</v>
      </c>
      <c r="B245" s="1">
        <v>35</v>
      </c>
      <c r="C245" s="1" t="str">
        <f t="shared" ref="C245:C248" si="67">"次"</f>
        <v>次</v>
      </c>
      <c r="D245" s="1" t="str">
        <f t="shared" si="66"/>
        <v>次</v>
      </c>
      <c r="E245" s="1" t="str">
        <f t="shared" si="64"/>
        <v>彩超费</v>
      </c>
    </row>
    <row r="246" spans="1:5">
      <c r="A246" s="1" t="str">
        <f>"腔内彩色多普勒超声检查(经直肠)"</f>
        <v>腔内彩色多普勒超声检查(经直肠)</v>
      </c>
      <c r="B246" s="1">
        <v>35</v>
      </c>
      <c r="C246" s="1" t="str">
        <f t="shared" si="67"/>
        <v>次</v>
      </c>
      <c r="D246" s="1" t="str">
        <f t="shared" si="66"/>
        <v>次</v>
      </c>
      <c r="E246" s="1" t="str">
        <f t="shared" ref="E246:E251" si="68">"超声费"</f>
        <v>超声费</v>
      </c>
    </row>
    <row r="247" spans="1:5">
      <c r="A247" s="1" t="str">
        <f>"腔内彩色多普勒超声检查(经阴道)"</f>
        <v>腔内彩色多普勒超声检查(经阴道)</v>
      </c>
      <c r="B247" s="1">
        <v>35</v>
      </c>
      <c r="C247" s="1" t="str">
        <f t="shared" si="67"/>
        <v>次</v>
      </c>
      <c r="D247" s="1" t="str">
        <f t="shared" si="66"/>
        <v>次</v>
      </c>
      <c r="E247" s="1" t="str">
        <f t="shared" si="68"/>
        <v>超声费</v>
      </c>
    </row>
    <row r="248" spans="1:5">
      <c r="A248" s="1" t="str">
        <f>"临床操作的彩色多普勒超声引导"</f>
        <v>临床操作的彩色多普勒超声引导</v>
      </c>
      <c r="B248" s="1">
        <v>85</v>
      </c>
      <c r="C248" s="1" t="str">
        <f t="shared" si="67"/>
        <v>次</v>
      </c>
      <c r="D248" s="1" t="str">
        <f t="shared" si="66"/>
        <v>次</v>
      </c>
      <c r="E248" s="1" t="str">
        <f t="shared" ref="E248:E255" si="69">"彩超费"</f>
        <v>彩超费</v>
      </c>
    </row>
    <row r="249" spans="1:5">
      <c r="A249" s="1" t="str">
        <f>"超声断层容积扫描"</f>
        <v>超声断层容积扫描</v>
      </c>
      <c r="B249" s="1">
        <v>240</v>
      </c>
      <c r="C249" s="1" t="str">
        <f>"项"</f>
        <v>项</v>
      </c>
      <c r="D249" s="1" t="str">
        <f>"项"</f>
        <v>项</v>
      </c>
      <c r="E249" s="1" t="str">
        <f>"检查费"</f>
        <v>检查费</v>
      </c>
    </row>
    <row r="250" spans="1:5">
      <c r="A250" s="1" t="str">
        <f>"颅内多普勒血流图(TCD)"</f>
        <v>颅内多普勒血流图(TCD)</v>
      </c>
      <c r="B250" s="1">
        <v>100</v>
      </c>
      <c r="C250" s="1" t="str">
        <f t="shared" ref="C250:C252" si="70">"次"</f>
        <v>次</v>
      </c>
      <c r="D250" s="1" t="str">
        <f t="shared" ref="D250:D255" si="71">"次"</f>
        <v>次</v>
      </c>
      <c r="E250" s="1" t="str">
        <f t="shared" si="68"/>
        <v>超声费</v>
      </c>
    </row>
    <row r="251" spans="1:5">
      <c r="A251" s="1" t="str">
        <f>"普通心脏M型超声检查"</f>
        <v>普通心脏M型超声检查</v>
      </c>
      <c r="B251" s="1">
        <v>10</v>
      </c>
      <c r="C251" s="1" t="str">
        <f t="shared" si="70"/>
        <v>次</v>
      </c>
      <c r="D251" s="1" t="str">
        <f t="shared" si="71"/>
        <v>次</v>
      </c>
      <c r="E251" s="1" t="str">
        <f t="shared" si="68"/>
        <v>超声费</v>
      </c>
    </row>
    <row r="252" spans="1:5">
      <c r="A252" s="1" t="str">
        <f>"普通二维超声心动图"</f>
        <v>普通二维超声心动图</v>
      </c>
      <c r="B252" s="1">
        <v>50</v>
      </c>
      <c r="C252" s="1" t="str">
        <f t="shared" si="70"/>
        <v>次</v>
      </c>
      <c r="D252" s="1" t="str">
        <f t="shared" si="71"/>
        <v>次</v>
      </c>
      <c r="E252" s="1" t="str">
        <f t="shared" si="69"/>
        <v>彩超费</v>
      </c>
    </row>
    <row r="253" spans="1:5">
      <c r="A253" s="1" t="str">
        <f>"心脏彩色多普勒超声"</f>
        <v>心脏彩色多普勒超声</v>
      </c>
      <c r="B253" s="1">
        <v>100</v>
      </c>
      <c r="C253" s="1" t="str">
        <f>"项"</f>
        <v>项</v>
      </c>
      <c r="D253" s="1" t="str">
        <f t="shared" si="71"/>
        <v>次</v>
      </c>
      <c r="E253" s="1" t="str">
        <f t="shared" si="69"/>
        <v>彩超费</v>
      </c>
    </row>
    <row r="254" spans="1:5">
      <c r="A254" s="1" t="str">
        <f>"左心功能测定"</f>
        <v>左心功能测定</v>
      </c>
      <c r="B254" s="1">
        <v>65</v>
      </c>
      <c r="C254" s="1">
        <v>1</v>
      </c>
      <c r="D254" s="1" t="str">
        <f t="shared" si="71"/>
        <v>次</v>
      </c>
      <c r="E254" s="1" t="str">
        <f t="shared" si="69"/>
        <v>彩超费</v>
      </c>
    </row>
    <row r="255" spans="1:5">
      <c r="A255" s="1" t="str">
        <f>"室壁运动分析"</f>
        <v>室壁运动分析</v>
      </c>
      <c r="B255" s="1">
        <v>50</v>
      </c>
      <c r="C255" s="1" t="str">
        <f>"次"</f>
        <v>次</v>
      </c>
      <c r="D255" s="1" t="str">
        <f t="shared" si="71"/>
        <v>次</v>
      </c>
      <c r="E255" s="1" t="str">
        <f t="shared" si="69"/>
        <v>彩超费</v>
      </c>
    </row>
    <row r="256" spans="1:5">
      <c r="A256" s="1" t="str">
        <f>"黑白热敏打印照片"</f>
        <v>黑白热敏打印照片</v>
      </c>
      <c r="B256" s="1">
        <v>10</v>
      </c>
      <c r="C256" s="1" t="str">
        <f t="shared" ref="C256:C258" si="72">"片"</f>
        <v>片</v>
      </c>
      <c r="D256" s="1" t="str">
        <f t="shared" ref="D256:D258" si="73">"片"</f>
        <v>片</v>
      </c>
      <c r="E256" s="1" t="str">
        <f t="shared" ref="E256:E262" si="74">"检查费"</f>
        <v>检查费</v>
      </c>
    </row>
    <row r="257" spans="1:5">
      <c r="A257" s="1" t="str">
        <f>"彩色打印照片"</f>
        <v>彩色打印照片</v>
      </c>
      <c r="B257" s="1">
        <v>15</v>
      </c>
      <c r="C257" s="1" t="str">
        <f t="shared" si="72"/>
        <v>片</v>
      </c>
      <c r="D257" s="1" t="str">
        <f t="shared" si="73"/>
        <v>片</v>
      </c>
      <c r="E257" s="1" t="str">
        <f t="shared" si="74"/>
        <v>检查费</v>
      </c>
    </row>
    <row r="258" spans="1:5">
      <c r="A258" s="1" t="str">
        <f>"彩色胶片照相"</f>
        <v>彩色胶片照相</v>
      </c>
      <c r="B258" s="1">
        <v>15</v>
      </c>
      <c r="C258" s="1" t="str">
        <f t="shared" si="72"/>
        <v>片</v>
      </c>
      <c r="D258" s="1" t="str">
        <f t="shared" si="73"/>
        <v>片</v>
      </c>
      <c r="E258" s="1" t="str">
        <f t="shared" si="74"/>
        <v>检查费</v>
      </c>
    </row>
    <row r="259" spans="1:5">
      <c r="A259" s="1" t="str">
        <f>"计算机图文报告"</f>
        <v>计算机图文报告</v>
      </c>
      <c r="B259" s="1">
        <v>15</v>
      </c>
      <c r="C259" s="1" t="str">
        <f t="shared" ref="C259:C262" si="75">"次"</f>
        <v>次</v>
      </c>
      <c r="D259" s="1" t="str">
        <f t="shared" ref="D259:D262" si="76">"次"</f>
        <v>次</v>
      </c>
      <c r="E259" s="1" t="str">
        <f t="shared" si="74"/>
        <v>检查费</v>
      </c>
    </row>
    <row r="260" spans="1:5">
      <c r="A260" s="1" t="str">
        <f>"彩色胶片报告"</f>
        <v>彩色胶片报告</v>
      </c>
      <c r="B260" s="1">
        <v>20</v>
      </c>
      <c r="C260" s="1">
        <v>1</v>
      </c>
      <c r="D260" s="1" t="str">
        <f>"片"</f>
        <v>片</v>
      </c>
      <c r="E260" s="1" t="str">
        <f t="shared" si="74"/>
        <v>检查费</v>
      </c>
    </row>
    <row r="261" spans="1:5">
      <c r="A261" s="1" t="str">
        <f>"骨密度测定"</f>
        <v>骨密度测定</v>
      </c>
      <c r="B261" s="1">
        <v>40</v>
      </c>
      <c r="C261" s="1" t="str">
        <f t="shared" si="75"/>
        <v>次</v>
      </c>
      <c r="D261" s="1" t="str">
        <f t="shared" si="76"/>
        <v>次</v>
      </c>
      <c r="E261" s="1" t="str">
        <f t="shared" si="74"/>
        <v>检查费</v>
      </c>
    </row>
    <row r="262" spans="1:5">
      <c r="A262" s="1" t="str">
        <f>"骨密度测定双能X线骨密度仪检测（同位素）"</f>
        <v>骨密度测定双能X线骨密度仪检测（同位素）</v>
      </c>
      <c r="B262" s="1">
        <v>300</v>
      </c>
      <c r="C262" s="1" t="str">
        <f t="shared" si="75"/>
        <v>次</v>
      </c>
      <c r="D262" s="1" t="str">
        <f t="shared" si="76"/>
        <v>次</v>
      </c>
      <c r="E262" s="1" t="str">
        <f t="shared" si="74"/>
        <v>检查费</v>
      </c>
    </row>
    <row r="263" spans="1:5">
      <c r="A263" s="1" t="str">
        <f>"血红蛋白测定(Hb)"</f>
        <v>血红蛋白测定(Hb)</v>
      </c>
      <c r="B263" s="1">
        <v>1</v>
      </c>
      <c r="C263" s="1" t="str">
        <f t="shared" ref="C263:C265" si="77">"项"</f>
        <v>项</v>
      </c>
      <c r="D263" s="1" t="str">
        <f t="shared" ref="D263:D265" si="78">"项"</f>
        <v>项</v>
      </c>
      <c r="E263" s="1" t="str">
        <f t="shared" ref="E263:E300" si="79">"检验费"</f>
        <v>检验费</v>
      </c>
    </row>
    <row r="264" spans="1:5">
      <c r="A264" s="1" t="str">
        <f>"红细胞计数(RBC)"</f>
        <v>红细胞计数(RBC)</v>
      </c>
      <c r="B264" s="1">
        <v>1</v>
      </c>
      <c r="C264" s="1" t="str">
        <f t="shared" si="77"/>
        <v>项</v>
      </c>
      <c r="D264" s="1" t="str">
        <f t="shared" si="78"/>
        <v>项</v>
      </c>
      <c r="E264" s="1" t="str">
        <f t="shared" si="79"/>
        <v>检验费</v>
      </c>
    </row>
    <row r="265" spans="1:5">
      <c r="A265" s="1" t="str">
        <f>"红细胞比积测定(HCT)"</f>
        <v>红细胞比积测定(HCT)</v>
      </c>
      <c r="B265" s="1">
        <v>1</v>
      </c>
      <c r="C265" s="1" t="str">
        <f t="shared" si="77"/>
        <v>项</v>
      </c>
      <c r="D265" s="1" t="str">
        <f t="shared" si="78"/>
        <v>项</v>
      </c>
      <c r="E265" s="1" t="str">
        <f t="shared" si="79"/>
        <v>检验费</v>
      </c>
    </row>
    <row r="266" spans="1:5">
      <c r="A266" s="1" t="str">
        <f>"红细胞参数平均值测定"</f>
        <v>红细胞参数平均值测定</v>
      </c>
      <c r="B266" s="1">
        <v>2</v>
      </c>
      <c r="C266" s="1" t="str">
        <f>"次"</f>
        <v>次</v>
      </c>
      <c r="D266" s="1" t="str">
        <f>"次"</f>
        <v>次</v>
      </c>
      <c r="E266" s="1" t="str">
        <f t="shared" si="79"/>
        <v>检验费</v>
      </c>
    </row>
    <row r="267" spans="1:5">
      <c r="A267" s="1" t="str">
        <f>"网织红细胞计数(Ret)"</f>
        <v>网织红细胞计数(Ret)</v>
      </c>
      <c r="B267" s="1">
        <v>1</v>
      </c>
      <c r="C267" s="1" t="str">
        <f t="shared" ref="C267:C269" si="80">"项"</f>
        <v>项</v>
      </c>
      <c r="D267" s="1" t="str">
        <f t="shared" ref="D267:D269" si="81">"项"</f>
        <v>项</v>
      </c>
      <c r="E267" s="1" t="str">
        <f t="shared" si="79"/>
        <v>检验费</v>
      </c>
    </row>
    <row r="268" spans="1:5">
      <c r="A268" s="1" t="str">
        <f>"异常红细胞形态检查"</f>
        <v>异常红细胞形态检查</v>
      </c>
      <c r="B268" s="1">
        <v>2</v>
      </c>
      <c r="C268" s="1" t="str">
        <f t="shared" si="80"/>
        <v>项</v>
      </c>
      <c r="D268" s="1" t="str">
        <f t="shared" si="81"/>
        <v>项</v>
      </c>
      <c r="E268" s="1" t="str">
        <f t="shared" si="79"/>
        <v>检验费</v>
      </c>
    </row>
    <row r="269" spans="1:5">
      <c r="A269" s="1" t="str">
        <f>"红细胞沉降率测定(ESR)(手工法)"</f>
        <v>红细胞沉降率测定(ESR)(手工法)</v>
      </c>
      <c r="B269" s="1">
        <v>2</v>
      </c>
      <c r="C269" s="1" t="str">
        <f t="shared" si="80"/>
        <v>项</v>
      </c>
      <c r="D269" s="1" t="str">
        <f t="shared" si="81"/>
        <v>项</v>
      </c>
      <c r="E269" s="1" t="str">
        <f t="shared" si="79"/>
        <v>检验费</v>
      </c>
    </row>
    <row r="270" spans="1:5">
      <c r="A270" s="1" t="str">
        <f>"红细胞沉降率测定(ESR)(仪器法)"</f>
        <v>红细胞沉降率测定(ESR)(仪器法)</v>
      </c>
      <c r="B270" s="1">
        <v>7</v>
      </c>
      <c r="C270" s="1" t="str">
        <f>"-"</f>
        <v>-</v>
      </c>
      <c r="D270" s="1" t="str">
        <f>"次"</f>
        <v>次</v>
      </c>
      <c r="E270" s="1" t="str">
        <f t="shared" si="79"/>
        <v>检验费</v>
      </c>
    </row>
    <row r="271" spans="1:5">
      <c r="A271" s="1" t="str">
        <f>"白细胞计数(WBC)"</f>
        <v>白细胞计数(WBC)</v>
      </c>
      <c r="B271" s="1">
        <v>1</v>
      </c>
      <c r="C271" s="1" t="str">
        <f t="shared" ref="C271:C277" si="82">"项"</f>
        <v>项</v>
      </c>
      <c r="D271" s="1" t="str">
        <f t="shared" ref="D271:D277" si="83">"项"</f>
        <v>项</v>
      </c>
      <c r="E271" s="1" t="str">
        <f t="shared" si="79"/>
        <v>检验费</v>
      </c>
    </row>
    <row r="272" spans="1:5">
      <c r="A272" s="1" t="str">
        <f>"白细胞分类计数(DC)"</f>
        <v>白细胞分类计数(DC)</v>
      </c>
      <c r="B272" s="1" t="str">
        <f>"0.5"</f>
        <v>0.5</v>
      </c>
      <c r="C272" s="1" t="str">
        <f t="shared" si="82"/>
        <v>项</v>
      </c>
      <c r="D272" s="1" t="str">
        <f t="shared" si="83"/>
        <v>项</v>
      </c>
      <c r="E272" s="1" t="str">
        <f t="shared" si="79"/>
        <v>检验费</v>
      </c>
    </row>
    <row r="273" spans="1:5">
      <c r="A273" s="1" t="str">
        <f>"粒细胞计数"</f>
        <v>粒细胞计数</v>
      </c>
      <c r="B273" s="1">
        <v>1</v>
      </c>
      <c r="C273" s="1" t="str">
        <f t="shared" si="82"/>
        <v>项</v>
      </c>
      <c r="D273" s="1" t="str">
        <f t="shared" si="83"/>
        <v>项</v>
      </c>
      <c r="E273" s="1" t="str">
        <f t="shared" si="79"/>
        <v>检验费</v>
      </c>
    </row>
    <row r="274" spans="1:5">
      <c r="A274" s="1" t="str">
        <f>"淋巴细胞计数"</f>
        <v>淋巴细胞计数</v>
      </c>
      <c r="B274" s="1">
        <v>1</v>
      </c>
      <c r="C274" s="1" t="str">
        <f t="shared" si="82"/>
        <v>项</v>
      </c>
      <c r="D274" s="1" t="str">
        <f t="shared" si="83"/>
        <v>项</v>
      </c>
      <c r="E274" s="1" t="str">
        <f t="shared" si="79"/>
        <v>检验费</v>
      </c>
    </row>
    <row r="275" spans="1:5">
      <c r="A275" s="1" t="str">
        <f>"异常白细胞形态检查"</f>
        <v>异常白细胞形态检查</v>
      </c>
      <c r="B275" s="1">
        <v>2</v>
      </c>
      <c r="C275" s="1" t="str">
        <f t="shared" si="82"/>
        <v>项</v>
      </c>
      <c r="D275" s="1" t="str">
        <f t="shared" si="83"/>
        <v>项</v>
      </c>
      <c r="E275" s="1" t="str">
        <f t="shared" si="79"/>
        <v>检验费</v>
      </c>
    </row>
    <row r="276" spans="1:5">
      <c r="A276" s="1" t="str">
        <f>"血小板计数"</f>
        <v>血小板计数</v>
      </c>
      <c r="B276" s="1">
        <v>1</v>
      </c>
      <c r="C276" s="1" t="str">
        <f t="shared" si="82"/>
        <v>项</v>
      </c>
      <c r="D276" s="1" t="str">
        <f t="shared" si="83"/>
        <v>项</v>
      </c>
      <c r="E276" s="1" t="str">
        <f t="shared" si="79"/>
        <v>检验费</v>
      </c>
    </row>
    <row r="277" spans="1:5">
      <c r="A277" s="1" t="str">
        <f>"血细胞分析（手工法）"</f>
        <v>血细胞分析（手工法）</v>
      </c>
      <c r="B277" s="1">
        <v>2</v>
      </c>
      <c r="C277" s="1" t="str">
        <f t="shared" si="82"/>
        <v>项</v>
      </c>
      <c r="D277" s="1" t="str">
        <f t="shared" si="83"/>
        <v>项</v>
      </c>
      <c r="E277" s="1" t="str">
        <f t="shared" si="79"/>
        <v>检验费</v>
      </c>
    </row>
    <row r="278" spans="1:5">
      <c r="A278" s="1" t="str">
        <f>"血细胞分析（三分类）"</f>
        <v>血细胞分析（三分类）</v>
      </c>
      <c r="B278" s="1">
        <v>10</v>
      </c>
      <c r="C278" s="1" t="str">
        <f t="shared" ref="C278:C281" si="84">"次"</f>
        <v>次</v>
      </c>
      <c r="D278" s="1" t="str">
        <f t="shared" ref="D278:D281" si="85">"次"</f>
        <v>次</v>
      </c>
      <c r="E278" s="1" t="str">
        <f t="shared" si="79"/>
        <v>检验费</v>
      </c>
    </row>
    <row r="279" spans="1:5">
      <c r="A279" s="1" t="str">
        <f>"血细胞分析（五分类）"</f>
        <v>血细胞分析（五分类）</v>
      </c>
      <c r="B279" s="1">
        <v>18</v>
      </c>
      <c r="C279" s="1" t="str">
        <f t="shared" si="84"/>
        <v>次</v>
      </c>
      <c r="D279" s="1" t="str">
        <f t="shared" si="85"/>
        <v>次</v>
      </c>
      <c r="E279" s="1" t="str">
        <f t="shared" si="79"/>
        <v>检验费</v>
      </c>
    </row>
    <row r="280" spans="1:5">
      <c r="A280" s="1" t="str">
        <f>"凝血时间测定(CT)"</f>
        <v>凝血时间测定(CT)</v>
      </c>
      <c r="B280" s="1">
        <v>1</v>
      </c>
      <c r="C280" s="1" t="str">
        <f>"项"</f>
        <v>项</v>
      </c>
      <c r="D280" s="1" t="str">
        <f>"项"</f>
        <v>项</v>
      </c>
      <c r="E280" s="1" t="str">
        <f t="shared" si="79"/>
        <v>检验费</v>
      </c>
    </row>
    <row r="281" spans="1:5">
      <c r="A281" s="1" t="str">
        <f>"尿常规镜检"</f>
        <v>尿常规镜检</v>
      </c>
      <c r="B281" s="1">
        <v>1</v>
      </c>
      <c r="C281" s="1" t="str">
        <f t="shared" si="84"/>
        <v>次</v>
      </c>
      <c r="D281" s="1" t="str">
        <f t="shared" si="85"/>
        <v>次</v>
      </c>
      <c r="E281" s="1" t="str">
        <f t="shared" si="79"/>
        <v>检验费</v>
      </c>
    </row>
    <row r="282" spans="1:5">
      <c r="A282" s="1" t="str">
        <f>"尿酸碱度测定"</f>
        <v>尿酸碱度测定</v>
      </c>
      <c r="B282" s="1" t="str">
        <f t="shared" ref="B282:B285" si="86">"0.5"</f>
        <v>0.5</v>
      </c>
      <c r="C282" s="1">
        <v>1</v>
      </c>
      <c r="D282" s="1" t="str">
        <f>"每次"</f>
        <v>每次</v>
      </c>
      <c r="E282" s="1" t="str">
        <f t="shared" si="79"/>
        <v>检验费</v>
      </c>
    </row>
    <row r="283" spans="1:5">
      <c r="A283" s="1" t="str">
        <f>"尿比重测定"</f>
        <v>尿比重测定</v>
      </c>
      <c r="B283" s="1" t="str">
        <f t="shared" si="86"/>
        <v>0.5</v>
      </c>
      <c r="C283" s="1">
        <v>1</v>
      </c>
      <c r="D283" s="1" t="str">
        <f>"次"</f>
        <v>次</v>
      </c>
      <c r="E283" s="1" t="str">
        <f t="shared" si="79"/>
        <v>检验费</v>
      </c>
    </row>
    <row r="284" spans="1:5">
      <c r="A284" s="1" t="str">
        <f>"渗透压检查"</f>
        <v>渗透压检查</v>
      </c>
      <c r="B284" s="1">
        <v>3</v>
      </c>
      <c r="C284" s="1" t="str">
        <f t="shared" ref="C284:C297" si="87">"项"</f>
        <v>项</v>
      </c>
      <c r="D284" s="1" t="str">
        <f t="shared" ref="D284:D297" si="88">"项"</f>
        <v>项</v>
      </c>
      <c r="E284" s="1" t="str">
        <f t="shared" si="79"/>
        <v>检验费</v>
      </c>
    </row>
    <row r="285" spans="1:5">
      <c r="A285" s="1" t="str">
        <f>"尿蛋白定性"</f>
        <v>尿蛋白定性</v>
      </c>
      <c r="B285" s="1" t="str">
        <f t="shared" si="86"/>
        <v>0.5</v>
      </c>
      <c r="C285" s="1">
        <v>1</v>
      </c>
      <c r="D285" s="1" t="str">
        <f>"次"</f>
        <v>次</v>
      </c>
      <c r="E285" s="1" t="str">
        <f t="shared" si="79"/>
        <v>检验费</v>
      </c>
    </row>
    <row r="286" spans="1:5">
      <c r="A286" s="1" t="str">
        <f>"尿蛋白定量"</f>
        <v>尿蛋白定量</v>
      </c>
      <c r="B286" s="1">
        <v>6</v>
      </c>
      <c r="C286" s="1" t="str">
        <f t="shared" si="87"/>
        <v>项</v>
      </c>
      <c r="D286" s="1" t="str">
        <f t="shared" si="88"/>
        <v>项</v>
      </c>
      <c r="E286" s="1" t="str">
        <f t="shared" si="79"/>
        <v>检验费</v>
      </c>
    </row>
    <row r="287" spans="1:5">
      <c r="A287" s="1" t="str">
        <f>"尿糖定性试验"</f>
        <v>尿糖定性试验</v>
      </c>
      <c r="B287" s="1" t="str">
        <f>"0.5"</f>
        <v>0.5</v>
      </c>
      <c r="C287" s="1" t="str">
        <f t="shared" si="87"/>
        <v>项</v>
      </c>
      <c r="D287" s="1" t="str">
        <f t="shared" si="88"/>
        <v>项</v>
      </c>
      <c r="E287" s="1" t="str">
        <f t="shared" si="79"/>
        <v>检验费</v>
      </c>
    </row>
    <row r="288" spans="1:5">
      <c r="A288" s="1" t="str">
        <f>"尿糖定量测定"</f>
        <v>尿糖定量测定</v>
      </c>
      <c r="B288" s="1">
        <v>3</v>
      </c>
      <c r="C288" s="1" t="str">
        <f t="shared" si="87"/>
        <v>项</v>
      </c>
      <c r="D288" s="1" t="str">
        <f t="shared" si="88"/>
        <v>项</v>
      </c>
      <c r="E288" s="1" t="str">
        <f t="shared" si="79"/>
        <v>检验费</v>
      </c>
    </row>
    <row r="289" spans="1:5">
      <c r="A289" s="1" t="str">
        <f>"尿酮体定性试验"</f>
        <v>尿酮体定性试验</v>
      </c>
      <c r="B289" s="1" t="str">
        <f>"0.5"</f>
        <v>0.5</v>
      </c>
      <c r="C289" s="1" t="str">
        <f t="shared" si="87"/>
        <v>项</v>
      </c>
      <c r="D289" s="1" t="str">
        <f t="shared" si="88"/>
        <v>项</v>
      </c>
      <c r="E289" s="1" t="str">
        <f t="shared" si="79"/>
        <v>检验费</v>
      </c>
    </row>
    <row r="290" spans="1:5">
      <c r="A290" s="1" t="str">
        <f>"尿三胆检查"</f>
        <v>尿三胆检查</v>
      </c>
      <c r="B290" s="1">
        <v>1</v>
      </c>
      <c r="C290" s="1" t="str">
        <f t="shared" si="87"/>
        <v>项</v>
      </c>
      <c r="D290" s="1" t="str">
        <f t="shared" si="88"/>
        <v>项</v>
      </c>
      <c r="E290" s="1" t="str">
        <f t="shared" si="79"/>
        <v>检验费</v>
      </c>
    </row>
    <row r="291" spans="1:5">
      <c r="A291" s="1" t="str">
        <f>"尿乳糜定性检查"</f>
        <v>尿乳糜定性检查</v>
      </c>
      <c r="B291" s="1">
        <v>1</v>
      </c>
      <c r="C291" s="1" t="str">
        <f t="shared" si="87"/>
        <v>项</v>
      </c>
      <c r="D291" s="1" t="str">
        <f t="shared" si="88"/>
        <v>项</v>
      </c>
      <c r="E291" s="1" t="str">
        <f t="shared" si="79"/>
        <v>检验费</v>
      </c>
    </row>
    <row r="292" spans="1:5">
      <c r="A292" s="1" t="str">
        <f>"尿浓缩稀释试验"</f>
        <v>尿浓缩稀释试验</v>
      </c>
      <c r="B292" s="1">
        <v>2</v>
      </c>
      <c r="C292" s="1" t="str">
        <f t="shared" si="87"/>
        <v>项</v>
      </c>
      <c r="D292" s="1" t="str">
        <f t="shared" si="88"/>
        <v>项</v>
      </c>
      <c r="E292" s="1" t="str">
        <f t="shared" si="79"/>
        <v>检验费</v>
      </c>
    </row>
    <row r="293" spans="1:5">
      <c r="A293" s="1" t="str">
        <f>"尿酚红排泄试验(PSP)"</f>
        <v>尿酚红排泄试验(PSP)</v>
      </c>
      <c r="B293" s="1">
        <v>2</v>
      </c>
      <c r="C293" s="1" t="str">
        <f t="shared" si="87"/>
        <v>项</v>
      </c>
      <c r="D293" s="1" t="str">
        <f t="shared" si="88"/>
        <v>项</v>
      </c>
      <c r="E293" s="1" t="str">
        <f t="shared" si="79"/>
        <v>检验费</v>
      </c>
    </row>
    <row r="294" spans="1:5">
      <c r="A294" s="1" t="str">
        <f>"尿妊娠试验"</f>
        <v>尿妊娠试验</v>
      </c>
      <c r="B294" s="1">
        <v>6</v>
      </c>
      <c r="C294" s="1" t="str">
        <f t="shared" si="87"/>
        <v>项</v>
      </c>
      <c r="D294" s="1" t="str">
        <f t="shared" si="88"/>
        <v>项</v>
      </c>
      <c r="E294" s="1" t="str">
        <f t="shared" si="79"/>
        <v>检验费</v>
      </c>
    </row>
    <row r="295" spans="1:5">
      <c r="A295" s="1" t="str">
        <f>"尿沉渣定量"</f>
        <v>尿沉渣定量</v>
      </c>
      <c r="B295" s="1">
        <v>20</v>
      </c>
      <c r="C295" s="1" t="str">
        <f t="shared" si="87"/>
        <v>项</v>
      </c>
      <c r="D295" s="1" t="str">
        <f t="shared" si="88"/>
        <v>项</v>
      </c>
      <c r="E295" s="1" t="str">
        <f t="shared" si="79"/>
        <v>检验费</v>
      </c>
    </row>
    <row r="296" spans="1:5">
      <c r="A296" s="1" t="str">
        <f>"尿常规（产检）"</f>
        <v>尿常规（产检）</v>
      </c>
      <c r="B296" s="1" t="str">
        <f>"0"</f>
        <v>0</v>
      </c>
      <c r="C296" s="1" t="str">
        <f t="shared" si="87"/>
        <v>项</v>
      </c>
      <c r="D296" s="1" t="str">
        <f t="shared" si="88"/>
        <v>项</v>
      </c>
      <c r="E296" s="1" t="str">
        <f t="shared" si="79"/>
        <v>检验费</v>
      </c>
    </row>
    <row r="297" spans="1:5">
      <c r="A297" s="1" t="str">
        <f>"尿三杯试验"</f>
        <v>尿三杯试验</v>
      </c>
      <c r="B297" s="1">
        <v>2</v>
      </c>
      <c r="C297" s="1" t="str">
        <f t="shared" si="87"/>
        <v>项</v>
      </c>
      <c r="D297" s="1" t="str">
        <f t="shared" si="88"/>
        <v>项</v>
      </c>
      <c r="E297" s="1" t="str">
        <f t="shared" si="79"/>
        <v>检验费</v>
      </c>
    </row>
    <row r="298" spans="1:5">
      <c r="A298" s="1" t="str">
        <f>"尿液分析(使用抗维生素C试剂条加收)"</f>
        <v>尿液分析(使用抗维生素C试剂条加收)</v>
      </c>
      <c r="B298" s="1">
        <v>2</v>
      </c>
      <c r="C298" s="1" t="str">
        <f>"-"</f>
        <v>-</v>
      </c>
      <c r="D298" s="1" t="str">
        <f>"次"</f>
        <v>次</v>
      </c>
      <c r="E298" s="1" t="str">
        <f t="shared" si="79"/>
        <v>检验费</v>
      </c>
    </row>
    <row r="299" spans="1:5">
      <c r="A299" s="1" t="str">
        <f>"尿碘快速测定"</f>
        <v>尿碘快速测定</v>
      </c>
      <c r="B299" s="1">
        <v>25</v>
      </c>
      <c r="C299" s="1" t="str">
        <f>"项"</f>
        <v>项</v>
      </c>
      <c r="D299" s="1" t="str">
        <f>"项"</f>
        <v>项</v>
      </c>
      <c r="E299" s="1" t="str">
        <f t="shared" si="79"/>
        <v>检验费</v>
      </c>
    </row>
    <row r="300" spans="1:5">
      <c r="A300" s="1" t="str">
        <f>"尿液分析"</f>
        <v>尿液分析</v>
      </c>
      <c r="B300" s="1">
        <v>10</v>
      </c>
      <c r="C300" s="1" t="str">
        <f>"次"</f>
        <v>次</v>
      </c>
      <c r="D300" s="1" t="str">
        <f>"次"</f>
        <v>次</v>
      </c>
      <c r="E300" s="1" t="str">
        <f t="shared" si="79"/>
        <v>检验费</v>
      </c>
    </row>
    <row r="301" spans="1:5">
      <c r="A301" s="1" t="str">
        <f>"粪便常规"</f>
        <v>粪便常规</v>
      </c>
      <c r="B301" s="1">
        <v>5</v>
      </c>
      <c r="C301" s="1" t="str">
        <f>"次"</f>
        <v>次</v>
      </c>
      <c r="D301" s="1" t="str">
        <f>"次"</f>
        <v>次</v>
      </c>
      <c r="E301" s="1" t="str">
        <f t="shared" ref="E301:E335" si="89">"检验费"</f>
        <v>检验费</v>
      </c>
    </row>
    <row r="302" spans="1:5">
      <c r="A302" s="1" t="str">
        <f>"粪便常规"</f>
        <v>粪便常规</v>
      </c>
      <c r="B302" s="1">
        <v>10</v>
      </c>
      <c r="C302" s="1" t="str">
        <f>"次"</f>
        <v>次</v>
      </c>
      <c r="D302" s="1" t="str">
        <f>"次"</f>
        <v>次</v>
      </c>
      <c r="E302" s="1" t="str">
        <f t="shared" si="89"/>
        <v>检验费</v>
      </c>
    </row>
    <row r="303" spans="1:5">
      <c r="A303" s="1" t="str">
        <f>"粪便隐血试验(OB)"</f>
        <v>粪便隐血试验(OB)</v>
      </c>
      <c r="B303" s="1">
        <v>12</v>
      </c>
      <c r="C303" s="1" t="str">
        <f t="shared" ref="C303:C310" si="90">"项"</f>
        <v>项</v>
      </c>
      <c r="D303" s="1" t="str">
        <f t="shared" ref="D303:D310" si="91">"项"</f>
        <v>项</v>
      </c>
      <c r="E303" s="1" t="str">
        <f t="shared" si="89"/>
        <v>检验费</v>
      </c>
    </row>
    <row r="304" spans="1:5">
      <c r="A304" s="1" t="str">
        <f>"乳糖耐受试验"</f>
        <v>乳糖耐受试验</v>
      </c>
      <c r="B304" s="1">
        <v>35</v>
      </c>
      <c r="C304" s="1" t="str">
        <f t="shared" si="90"/>
        <v>项</v>
      </c>
      <c r="D304" s="1" t="str">
        <f t="shared" si="91"/>
        <v>项</v>
      </c>
      <c r="E304" s="1" t="str">
        <f t="shared" si="89"/>
        <v>检验费</v>
      </c>
    </row>
    <row r="305" spans="1:5">
      <c r="A305" s="1" t="str">
        <f>"胸腹水常规检查"</f>
        <v>胸腹水常规检查</v>
      </c>
      <c r="B305" s="1">
        <v>10</v>
      </c>
      <c r="C305" s="1" t="str">
        <f t="shared" ref="C305:C307" si="92">"次"</f>
        <v>次</v>
      </c>
      <c r="D305" s="1" t="str">
        <f t="shared" ref="D305:D307" si="93">"次"</f>
        <v>次</v>
      </c>
      <c r="E305" s="1" t="str">
        <f t="shared" si="89"/>
        <v>检验费</v>
      </c>
    </row>
    <row r="306" spans="1:5">
      <c r="A306" s="1" t="str">
        <f>"胸腹水特殊检查"</f>
        <v>胸腹水特殊检查</v>
      </c>
      <c r="B306" s="1">
        <v>8</v>
      </c>
      <c r="C306" s="1" t="str">
        <f t="shared" si="92"/>
        <v>次</v>
      </c>
      <c r="D306" s="1" t="str">
        <f t="shared" si="93"/>
        <v>次</v>
      </c>
      <c r="E306" s="1" t="str">
        <f t="shared" si="89"/>
        <v>检验费</v>
      </c>
    </row>
    <row r="307" spans="1:5">
      <c r="A307" s="1" t="str">
        <f>"精液常规检查"</f>
        <v>精液常规检查</v>
      </c>
      <c r="B307" s="1">
        <v>10</v>
      </c>
      <c r="C307" s="1" t="str">
        <f t="shared" si="92"/>
        <v>次</v>
      </c>
      <c r="D307" s="1" t="str">
        <f t="shared" si="93"/>
        <v>次</v>
      </c>
      <c r="E307" s="1" t="str">
        <f t="shared" si="89"/>
        <v>检验费</v>
      </c>
    </row>
    <row r="308" spans="1:5">
      <c r="A308" s="1" t="str">
        <f>"精子运动轨迹分析"</f>
        <v>精子运动轨迹分析</v>
      </c>
      <c r="B308" s="1">
        <v>3</v>
      </c>
      <c r="C308" s="1" t="str">
        <f t="shared" si="90"/>
        <v>项</v>
      </c>
      <c r="D308" s="1" t="str">
        <f t="shared" si="91"/>
        <v>项</v>
      </c>
      <c r="E308" s="1" t="str">
        <f t="shared" si="89"/>
        <v>检验费</v>
      </c>
    </row>
    <row r="309" spans="1:5">
      <c r="A309" s="1" t="str">
        <f>"精子顶体完整率检查"</f>
        <v>精子顶体完整率检查</v>
      </c>
      <c r="B309" s="1">
        <v>2</v>
      </c>
      <c r="C309" s="1" t="str">
        <f t="shared" si="90"/>
        <v>项</v>
      </c>
      <c r="D309" s="1" t="str">
        <f t="shared" si="91"/>
        <v>项</v>
      </c>
      <c r="E309" s="1" t="str">
        <f t="shared" si="89"/>
        <v>检验费</v>
      </c>
    </row>
    <row r="310" spans="1:5">
      <c r="A310" s="1" t="str">
        <f>"前列腺液常规检查"</f>
        <v>前列腺液常规检查</v>
      </c>
      <c r="B310" s="1">
        <v>2</v>
      </c>
      <c r="C310" s="1" t="str">
        <f t="shared" si="90"/>
        <v>项</v>
      </c>
      <c r="D310" s="1" t="str">
        <f t="shared" si="91"/>
        <v>项</v>
      </c>
      <c r="E310" s="1" t="str">
        <f t="shared" si="89"/>
        <v>检验费</v>
      </c>
    </row>
    <row r="311" spans="1:5">
      <c r="A311" s="1" t="str">
        <f>"阴道分泌物检查"</f>
        <v>阴道分泌物检查</v>
      </c>
      <c r="B311" s="1">
        <v>5</v>
      </c>
      <c r="C311" s="1" t="str">
        <f>"次"</f>
        <v>次</v>
      </c>
      <c r="D311" s="1" t="str">
        <f>"次"</f>
        <v>次</v>
      </c>
      <c r="E311" s="1" t="str">
        <f t="shared" si="89"/>
        <v>检验费</v>
      </c>
    </row>
    <row r="312" spans="1:5">
      <c r="A312" s="1" t="str">
        <f>"细菌性阴道炎检查（白细胞酯梅）"</f>
        <v>细菌性阴道炎检查（白细胞酯梅）</v>
      </c>
      <c r="B312" s="1">
        <v>12</v>
      </c>
      <c r="C312" s="1" t="str">
        <f t="shared" ref="C312:C316" si="94">"项"</f>
        <v>项</v>
      </c>
      <c r="D312" s="1" t="str">
        <f t="shared" ref="D312:D316" si="95">"项"</f>
        <v>项</v>
      </c>
      <c r="E312" s="1" t="str">
        <f t="shared" si="89"/>
        <v>检验费</v>
      </c>
    </row>
    <row r="313" spans="1:5">
      <c r="A313" s="1" t="str">
        <f>"细菌性阴道炎检查（过氧化氢浓度）"</f>
        <v>细菌性阴道炎检查（过氧化氢浓度）</v>
      </c>
      <c r="B313" s="1">
        <v>12</v>
      </c>
      <c r="C313" s="1" t="str">
        <f t="shared" si="94"/>
        <v>项</v>
      </c>
      <c r="D313" s="1" t="str">
        <f t="shared" si="95"/>
        <v>项</v>
      </c>
      <c r="E313" s="1" t="str">
        <f t="shared" si="89"/>
        <v>检验费</v>
      </c>
    </row>
    <row r="314" spans="1:5">
      <c r="A314" s="1" t="str">
        <f>"细菌性阴道炎检查（葡萄糖酸苷酶）"</f>
        <v>细菌性阴道炎检查（葡萄糖酸苷酶）</v>
      </c>
      <c r="B314" s="1">
        <v>12</v>
      </c>
      <c r="C314" s="1" t="str">
        <f t="shared" si="94"/>
        <v>项</v>
      </c>
      <c r="D314" s="1" t="str">
        <f t="shared" si="95"/>
        <v>项</v>
      </c>
      <c r="E314" s="1" t="str">
        <f t="shared" si="89"/>
        <v>检验费</v>
      </c>
    </row>
    <row r="315" spans="1:5">
      <c r="A315" s="1" t="str">
        <f>"细菌性阴道炎检查(唾液酸苷酶）"</f>
        <v>细菌性阴道炎检查(唾液酸苷酶）</v>
      </c>
      <c r="B315" s="1">
        <v>12</v>
      </c>
      <c r="C315" s="1" t="str">
        <f t="shared" si="94"/>
        <v>项</v>
      </c>
      <c r="D315" s="1" t="str">
        <f t="shared" si="95"/>
        <v>项</v>
      </c>
      <c r="E315" s="1" t="str">
        <f t="shared" si="89"/>
        <v>检验费</v>
      </c>
    </row>
    <row r="316" spans="1:5">
      <c r="A316" s="1" t="str">
        <f>"细菌性阴道炎检查（乙酰氨基葡萄糖）"</f>
        <v>细菌性阴道炎检查（乙酰氨基葡萄糖）</v>
      </c>
      <c r="B316" s="1">
        <v>12</v>
      </c>
      <c r="C316" s="1" t="str">
        <f t="shared" si="94"/>
        <v>项</v>
      </c>
      <c r="D316" s="1" t="str">
        <f t="shared" si="95"/>
        <v>项</v>
      </c>
      <c r="E316" s="1" t="str">
        <f t="shared" si="89"/>
        <v>检验费</v>
      </c>
    </row>
    <row r="317" spans="1:5">
      <c r="A317" s="1" t="str">
        <f>"阴道分泌物胺测定"</f>
        <v>阴道分泌物胺测定</v>
      </c>
      <c r="B317" s="1">
        <v>20</v>
      </c>
      <c r="C317" s="1" t="str">
        <f t="shared" ref="C317:C319" si="96">"次"</f>
        <v>次</v>
      </c>
      <c r="D317" s="1" t="str">
        <f t="shared" ref="D317:D319" si="97">"次"</f>
        <v>次</v>
      </c>
      <c r="E317" s="1" t="str">
        <f t="shared" si="89"/>
        <v>检验费</v>
      </c>
    </row>
    <row r="318" spans="1:5">
      <c r="A318" s="1" t="str">
        <f>"痰液常规检查"</f>
        <v>痰液常规检查</v>
      </c>
      <c r="B318" s="1">
        <v>2</v>
      </c>
      <c r="C318" s="1" t="str">
        <f t="shared" si="96"/>
        <v>次</v>
      </c>
      <c r="D318" s="1" t="str">
        <f t="shared" si="97"/>
        <v>次</v>
      </c>
      <c r="E318" s="1" t="str">
        <f t="shared" si="89"/>
        <v>检验费</v>
      </c>
    </row>
    <row r="319" spans="1:5">
      <c r="A319" s="1" t="str">
        <f>"各种穿刺液常规检查"</f>
        <v>各种穿刺液常规检查</v>
      </c>
      <c r="B319" s="1">
        <v>2</v>
      </c>
      <c r="C319" s="1" t="str">
        <f t="shared" si="96"/>
        <v>次</v>
      </c>
      <c r="D319" s="1" t="str">
        <f t="shared" si="97"/>
        <v>次</v>
      </c>
      <c r="E319" s="1" t="str">
        <f t="shared" si="89"/>
        <v>检验费</v>
      </c>
    </row>
    <row r="320" spans="1:5">
      <c r="A320" s="1" t="str">
        <f>"血小板相关补体C3测定(PAC3)"</f>
        <v>血小板相关补体C3测定(PAC3)</v>
      </c>
      <c r="B320" s="1">
        <v>20</v>
      </c>
      <c r="C320" s="1" t="str">
        <f t="shared" ref="C320:C330" si="98">"项"</f>
        <v>项</v>
      </c>
      <c r="D320" s="1" t="str">
        <f t="shared" ref="D320:D330" si="99">"项"</f>
        <v>项</v>
      </c>
      <c r="E320" s="1" t="str">
        <f t="shared" si="89"/>
        <v>检验费</v>
      </c>
    </row>
    <row r="321" spans="1:5">
      <c r="A321" s="1" t="str">
        <f>"血浆凝血酶原时间测定(PT)"</f>
        <v>血浆凝血酶原时间测定(PT)</v>
      </c>
      <c r="B321" s="1">
        <v>15</v>
      </c>
      <c r="C321" s="1" t="str">
        <f t="shared" si="98"/>
        <v>项</v>
      </c>
      <c r="D321" s="1" t="str">
        <f t="shared" si="99"/>
        <v>项</v>
      </c>
      <c r="E321" s="1" t="str">
        <f t="shared" si="89"/>
        <v>检验费</v>
      </c>
    </row>
    <row r="322" spans="1:5">
      <c r="A322" s="1" t="str">
        <f>"血浆凝血酶原时间测定(PT)(电化学法)"</f>
        <v>血浆凝血酶原时间测定(PT)(电化学法)</v>
      </c>
      <c r="B322" s="1">
        <v>70</v>
      </c>
      <c r="C322" s="1" t="str">
        <f t="shared" si="98"/>
        <v>项</v>
      </c>
      <c r="D322" s="1" t="str">
        <f t="shared" si="99"/>
        <v>项</v>
      </c>
      <c r="E322" s="1" t="str">
        <f t="shared" si="89"/>
        <v>检验费</v>
      </c>
    </row>
    <row r="323" spans="1:5">
      <c r="A323" s="1" t="str">
        <f>"白陶土部分凝血活酶时间测定(KPTT)(仪器法)"</f>
        <v>白陶土部分凝血活酶时间测定(KPTT)(仪器法)</v>
      </c>
      <c r="B323" s="1">
        <v>15</v>
      </c>
      <c r="C323" s="1" t="str">
        <f t="shared" si="98"/>
        <v>项</v>
      </c>
      <c r="D323" s="1" t="str">
        <f t="shared" si="99"/>
        <v>项</v>
      </c>
      <c r="E323" s="1" t="str">
        <f t="shared" si="89"/>
        <v>检验费</v>
      </c>
    </row>
    <row r="324" spans="1:5">
      <c r="A324" s="1" t="str">
        <f>"活化部分凝血活酶时间测定(APTT)"</f>
        <v>活化部分凝血活酶时间测定(APTT)</v>
      </c>
      <c r="B324" s="1">
        <v>20</v>
      </c>
      <c r="C324" s="1" t="str">
        <f t="shared" si="98"/>
        <v>项</v>
      </c>
      <c r="D324" s="1" t="str">
        <f t="shared" si="99"/>
        <v>项</v>
      </c>
      <c r="E324" s="1" t="str">
        <f t="shared" si="89"/>
        <v>检验费</v>
      </c>
    </row>
    <row r="325" spans="1:5">
      <c r="A325" s="1" t="str">
        <f>"活化凝血时间测定（ACT）"</f>
        <v>活化凝血时间测定（ACT）</v>
      </c>
      <c r="B325" s="1">
        <v>10</v>
      </c>
      <c r="C325" s="1" t="str">
        <f t="shared" si="98"/>
        <v>项</v>
      </c>
      <c r="D325" s="1" t="str">
        <f t="shared" si="99"/>
        <v>项</v>
      </c>
      <c r="E325" s="1" t="str">
        <f t="shared" si="89"/>
        <v>检验费</v>
      </c>
    </row>
    <row r="326" spans="1:5">
      <c r="A326" s="1" t="str">
        <f>"(FIB)血浆纤维蛋白原测定"</f>
        <v>(FIB)血浆纤维蛋白原测定</v>
      </c>
      <c r="B326" s="1">
        <v>15</v>
      </c>
      <c r="C326" s="1" t="str">
        <f t="shared" si="98"/>
        <v>项</v>
      </c>
      <c r="D326" s="1" t="str">
        <f t="shared" si="99"/>
        <v>项</v>
      </c>
      <c r="E326" s="1" t="str">
        <f t="shared" si="89"/>
        <v>检验费</v>
      </c>
    </row>
    <row r="327" spans="1:5">
      <c r="A327" s="1" t="str">
        <f>"凝血酶时间测定(TT)"</f>
        <v>凝血酶时间测定(TT)</v>
      </c>
      <c r="B327" s="1">
        <v>12</v>
      </c>
      <c r="C327" s="1" t="str">
        <f t="shared" si="98"/>
        <v>项</v>
      </c>
      <c r="D327" s="1" t="str">
        <f t="shared" si="99"/>
        <v>项</v>
      </c>
      <c r="E327" s="1" t="str">
        <f t="shared" si="89"/>
        <v>检验费</v>
      </c>
    </row>
    <row r="328" spans="1:5">
      <c r="A328" s="1" t="str">
        <f>"血浆D-二聚体测定(D-Dimer)"</f>
        <v>血浆D-二聚体测定(D-Dimer)</v>
      </c>
      <c r="B328" s="1">
        <v>45</v>
      </c>
      <c r="C328" s="1" t="str">
        <f t="shared" si="98"/>
        <v>项</v>
      </c>
      <c r="D328" s="1" t="str">
        <f t="shared" si="99"/>
        <v>项</v>
      </c>
      <c r="E328" s="1" t="str">
        <f t="shared" si="89"/>
        <v>检验费</v>
      </c>
    </row>
    <row r="329" spans="1:5">
      <c r="A329" s="1" t="str">
        <f>"血浆D-二聚体测定(D-Dimer)仪器法"</f>
        <v>血浆D-二聚体测定(D-Dimer)仪器法</v>
      </c>
      <c r="B329" s="1">
        <v>70</v>
      </c>
      <c r="C329" s="1" t="str">
        <f t="shared" si="98"/>
        <v>项</v>
      </c>
      <c r="D329" s="1" t="str">
        <f t="shared" si="99"/>
        <v>项</v>
      </c>
      <c r="E329" s="1" t="str">
        <f t="shared" si="89"/>
        <v>检验费</v>
      </c>
    </row>
    <row r="330" spans="1:5">
      <c r="A330" s="1" t="str">
        <f>"白细胞抗原B27测定(HLA-B27)"</f>
        <v>白细胞抗原B27测定(HLA-B27)</v>
      </c>
      <c r="B330" s="1">
        <v>100</v>
      </c>
      <c r="C330" s="1" t="str">
        <f t="shared" si="98"/>
        <v>项</v>
      </c>
      <c r="D330" s="1" t="str">
        <f t="shared" si="99"/>
        <v>项</v>
      </c>
      <c r="E330" s="1" t="str">
        <f t="shared" si="89"/>
        <v>检验费</v>
      </c>
    </row>
    <row r="331" spans="1:5">
      <c r="A331" s="1" t="str">
        <f>"红细胞流变特性检测"</f>
        <v>红细胞流变特性检测</v>
      </c>
      <c r="B331" s="1">
        <v>15</v>
      </c>
      <c r="C331" s="1" t="str">
        <f>"次"</f>
        <v>次</v>
      </c>
      <c r="D331" s="1" t="str">
        <f>"次"</f>
        <v>次</v>
      </c>
      <c r="E331" s="1" t="str">
        <f t="shared" si="89"/>
        <v>检验费</v>
      </c>
    </row>
    <row r="332" spans="1:5">
      <c r="A332" s="1" t="str">
        <f>"全血粘度测定（低切）"</f>
        <v>全血粘度测定（低切）</v>
      </c>
      <c r="B332" s="1">
        <v>15</v>
      </c>
      <c r="C332" s="1" t="str">
        <f t="shared" ref="C332:C338" si="100">"项"</f>
        <v>项</v>
      </c>
      <c r="D332" s="1" t="str">
        <f t="shared" ref="D332:D341" si="101">"项"</f>
        <v>项</v>
      </c>
      <c r="E332" s="1" t="str">
        <f t="shared" si="89"/>
        <v>检验费</v>
      </c>
    </row>
    <row r="333" spans="1:5">
      <c r="A333" s="1" t="str">
        <f>"全血粘度测定（中切）"</f>
        <v>全血粘度测定（中切）</v>
      </c>
      <c r="B333" s="1">
        <v>15</v>
      </c>
      <c r="C333" s="1" t="str">
        <f t="shared" si="100"/>
        <v>项</v>
      </c>
      <c r="D333" s="1" t="str">
        <f t="shared" si="101"/>
        <v>项</v>
      </c>
      <c r="E333" s="1" t="str">
        <f t="shared" si="89"/>
        <v>检验费</v>
      </c>
    </row>
    <row r="334" spans="1:5">
      <c r="A334" s="1" t="str">
        <f>"全血粘度测定（高切）"</f>
        <v>全血粘度测定（高切）</v>
      </c>
      <c r="B334" s="1">
        <v>15</v>
      </c>
      <c r="C334" s="1" t="str">
        <f t="shared" si="100"/>
        <v>项</v>
      </c>
      <c r="D334" s="1" t="str">
        <f t="shared" si="101"/>
        <v>项</v>
      </c>
      <c r="E334" s="1" t="str">
        <f t="shared" si="89"/>
        <v>检验费</v>
      </c>
    </row>
    <row r="335" spans="1:5">
      <c r="A335" s="1" t="str">
        <f>"血浆粘度测定"</f>
        <v>血浆粘度测定</v>
      </c>
      <c r="B335" s="1">
        <v>5</v>
      </c>
      <c r="C335" s="1" t="str">
        <f t="shared" si="100"/>
        <v>项</v>
      </c>
      <c r="D335" s="1" t="str">
        <f t="shared" si="101"/>
        <v>项</v>
      </c>
      <c r="E335" s="1" t="str">
        <f t="shared" si="89"/>
        <v>检验费</v>
      </c>
    </row>
    <row r="336" spans="1:5">
      <c r="A336" s="1" t="str">
        <f>"血栓弹力图试验（TEG）"</f>
        <v>血栓弹力图试验（TEG）</v>
      </c>
      <c r="B336" s="1">
        <v>300</v>
      </c>
      <c r="C336" s="1" t="str">
        <f t="shared" si="100"/>
        <v>项</v>
      </c>
      <c r="D336" s="1" t="str">
        <f t="shared" si="101"/>
        <v>项</v>
      </c>
      <c r="E336" s="1" t="str">
        <f>"检查费"</f>
        <v>检查费</v>
      </c>
    </row>
    <row r="337" spans="1:5">
      <c r="A337" s="1" t="str">
        <f>"血清总蛋白测定化学法"</f>
        <v>血清总蛋白测定化学法</v>
      </c>
      <c r="B337" s="1">
        <v>4</v>
      </c>
      <c r="C337" s="1" t="str">
        <f t="shared" si="100"/>
        <v>项</v>
      </c>
      <c r="D337" s="1" t="str">
        <f t="shared" si="101"/>
        <v>项</v>
      </c>
      <c r="E337" s="1" t="str">
        <f t="shared" ref="E337:E400" si="102">"检验费"</f>
        <v>检验费</v>
      </c>
    </row>
    <row r="338" spans="1:5">
      <c r="A338" s="1" t="str">
        <f>"血清白蛋白测定化学法"</f>
        <v>血清白蛋白测定化学法</v>
      </c>
      <c r="B338" s="1">
        <v>4</v>
      </c>
      <c r="C338" s="1" t="str">
        <f t="shared" si="100"/>
        <v>项</v>
      </c>
      <c r="D338" s="1" t="str">
        <f t="shared" si="101"/>
        <v>项</v>
      </c>
      <c r="E338" s="1" t="str">
        <f t="shared" si="102"/>
        <v>检验费</v>
      </c>
    </row>
    <row r="339" spans="1:5">
      <c r="A339" s="1" t="str">
        <f>"超敏C反应蛋白测定（速率散射比浊法）"</f>
        <v>超敏C反应蛋白测定（速率散射比浊法）</v>
      </c>
      <c r="B339" s="1">
        <v>35</v>
      </c>
      <c r="C339" s="1" t="str">
        <f>"-"</f>
        <v>-</v>
      </c>
      <c r="D339" s="1" t="str">
        <f t="shared" si="101"/>
        <v>项</v>
      </c>
      <c r="E339" s="1" t="str">
        <f t="shared" si="102"/>
        <v>检验费</v>
      </c>
    </row>
    <row r="340" spans="1:5">
      <c r="A340" s="1" t="str">
        <f>"超敏C反应蛋白测定（各种免疫学方法）"</f>
        <v>超敏C反应蛋白测定（各种免疫学方法）</v>
      </c>
      <c r="B340" s="1">
        <v>35</v>
      </c>
      <c r="C340" s="1" t="str">
        <f t="shared" ref="C340:C344" si="103">"项"</f>
        <v>项</v>
      </c>
      <c r="D340" s="1" t="str">
        <f t="shared" si="101"/>
        <v>项</v>
      </c>
      <c r="E340" s="1" t="str">
        <f t="shared" si="102"/>
        <v>检验费</v>
      </c>
    </row>
    <row r="341" spans="1:5">
      <c r="A341" s="1" t="str">
        <f>"高敏感C-反应蛋白测定（免疫比浊终点法）"</f>
        <v>高敏感C-反应蛋白测定（免疫比浊终点法）</v>
      </c>
      <c r="B341" s="1">
        <v>35</v>
      </c>
      <c r="C341" s="1" t="str">
        <f t="shared" si="103"/>
        <v>项</v>
      </c>
      <c r="D341" s="1" t="str">
        <f t="shared" si="101"/>
        <v>项</v>
      </c>
      <c r="E341" s="1" t="str">
        <f t="shared" si="102"/>
        <v>检验费</v>
      </c>
    </row>
    <row r="342" spans="1:5">
      <c r="A342" s="1" t="str">
        <f>"血清淀粉样蛋白A测定"</f>
        <v>血清淀粉样蛋白A测定</v>
      </c>
      <c r="B342" s="1">
        <v>30</v>
      </c>
      <c r="C342" s="1" t="str">
        <f t="shared" si="103"/>
        <v>项</v>
      </c>
      <c r="D342" s="1" t="str">
        <f t="shared" ref="D342:D351" si="104">"次"</f>
        <v>次</v>
      </c>
      <c r="E342" s="1" t="str">
        <f t="shared" si="102"/>
        <v>检验费</v>
      </c>
    </row>
    <row r="343" spans="1:5">
      <c r="A343" s="1" t="str">
        <f>"人磷酸化tau-181蛋白检测"</f>
        <v>人磷酸化tau-181蛋白检测</v>
      </c>
      <c r="B343" s="1">
        <v>380</v>
      </c>
      <c r="C343" s="1" t="str">
        <f t="shared" si="103"/>
        <v>项</v>
      </c>
      <c r="D343" s="1" t="str">
        <f>"项"</f>
        <v>项</v>
      </c>
      <c r="E343" s="1" t="str">
        <f t="shared" si="102"/>
        <v>检验费</v>
      </c>
    </row>
    <row r="344" spans="1:5">
      <c r="A344" s="1" t="str">
        <f>"人β淀粉样蛋白1-42（Aβ1-42）检测"</f>
        <v>人β淀粉样蛋白1-42（Aβ1-42）检测</v>
      </c>
      <c r="B344" s="1">
        <v>380</v>
      </c>
      <c r="C344" s="1" t="str">
        <f t="shared" si="103"/>
        <v>项</v>
      </c>
      <c r="D344" s="1" t="str">
        <f>"项"</f>
        <v>项</v>
      </c>
      <c r="E344" s="1" t="str">
        <f t="shared" si="102"/>
        <v>检验费</v>
      </c>
    </row>
    <row r="345" spans="1:5">
      <c r="A345" s="1" t="str">
        <f>"葡萄糖测定"</f>
        <v>葡萄糖测定</v>
      </c>
      <c r="B345" s="1">
        <v>4</v>
      </c>
      <c r="C345" s="1" t="str">
        <f t="shared" ref="C345:C351" si="105">"次"</f>
        <v>次</v>
      </c>
      <c r="D345" s="1" t="str">
        <f t="shared" si="104"/>
        <v>次</v>
      </c>
      <c r="E345" s="1" t="str">
        <f t="shared" si="102"/>
        <v>检验费</v>
      </c>
    </row>
    <row r="346" spans="1:5">
      <c r="A346" s="1" t="str">
        <f>"葡萄糖测定（各种酶法、酶电极法）(脑脊液)"</f>
        <v>葡萄糖测定（各种酶法、酶电极法）(脑脊液)</v>
      </c>
      <c r="B346" s="1">
        <v>4</v>
      </c>
      <c r="C346" s="1">
        <v>1</v>
      </c>
      <c r="D346" s="1" t="str">
        <f t="shared" si="104"/>
        <v>次</v>
      </c>
      <c r="E346" s="1" t="str">
        <f t="shared" si="102"/>
        <v>检验费</v>
      </c>
    </row>
    <row r="347" spans="1:5">
      <c r="A347" s="1" t="str">
        <f>"葡萄糖测定（各种酶法、酶电极法）(尿标本)"</f>
        <v>葡萄糖测定（各种酶法、酶电极法）(尿标本)</v>
      </c>
      <c r="B347" s="1">
        <v>4</v>
      </c>
      <c r="C347" s="1">
        <v>1</v>
      </c>
      <c r="D347" s="1" t="str">
        <f t="shared" si="104"/>
        <v>次</v>
      </c>
      <c r="E347" s="1" t="str">
        <f t="shared" si="102"/>
        <v>检验费</v>
      </c>
    </row>
    <row r="348" spans="1:5">
      <c r="A348" s="1" t="str">
        <f>"葡萄糖测定（各种酶法、酶电极法）(血清)"</f>
        <v>葡萄糖测定（各种酶法、酶电极法）(血清)</v>
      </c>
      <c r="B348" s="1">
        <v>4</v>
      </c>
      <c r="C348" s="1">
        <v>1</v>
      </c>
      <c r="D348" s="1" t="str">
        <f t="shared" si="104"/>
        <v>次</v>
      </c>
      <c r="E348" s="1" t="str">
        <f t="shared" si="102"/>
        <v>检验费</v>
      </c>
    </row>
    <row r="349" spans="1:5">
      <c r="A349" s="1" t="str">
        <f>"葡萄糖测定干化学法"</f>
        <v>葡萄糖测定干化学法</v>
      </c>
      <c r="B349" s="1">
        <v>12</v>
      </c>
      <c r="C349" s="1" t="str">
        <f t="shared" si="105"/>
        <v>次</v>
      </c>
      <c r="D349" s="1" t="str">
        <f t="shared" si="104"/>
        <v>次</v>
      </c>
      <c r="E349" s="1" t="str">
        <f t="shared" si="102"/>
        <v>检验费</v>
      </c>
    </row>
    <row r="350" spans="1:5">
      <c r="A350" s="1" t="str">
        <f>"糖化血红蛋白测定（各种免疫学方法）"</f>
        <v>糖化血红蛋白测定（各种免疫学方法）</v>
      </c>
      <c r="B350" s="1">
        <v>30</v>
      </c>
      <c r="C350" s="1" t="str">
        <f t="shared" si="105"/>
        <v>次</v>
      </c>
      <c r="D350" s="1" t="str">
        <f t="shared" si="104"/>
        <v>次</v>
      </c>
      <c r="E350" s="1" t="str">
        <f t="shared" si="102"/>
        <v>检验费</v>
      </c>
    </row>
    <row r="351" spans="1:5">
      <c r="A351" s="1" t="str">
        <f>"糖化血红蛋白测定"</f>
        <v>糖化血红蛋白测定</v>
      </c>
      <c r="B351" s="1">
        <v>60</v>
      </c>
      <c r="C351" s="1" t="str">
        <f t="shared" si="105"/>
        <v>次</v>
      </c>
      <c r="D351" s="1" t="str">
        <f t="shared" si="104"/>
        <v>次</v>
      </c>
      <c r="E351" s="1" t="str">
        <f t="shared" si="102"/>
        <v>检验费</v>
      </c>
    </row>
    <row r="352" spans="1:5">
      <c r="A352" s="1" t="str">
        <f>"血清总胆固醇测定化学法、酶法"</f>
        <v>血清总胆固醇测定化学法、酶法</v>
      </c>
      <c r="B352" s="1">
        <v>4</v>
      </c>
      <c r="C352" s="1" t="str">
        <f t="shared" ref="C352:C364" si="106">"项"</f>
        <v>项</v>
      </c>
      <c r="D352" s="1" t="str">
        <f t="shared" ref="D352:D364" si="107">"项"</f>
        <v>项</v>
      </c>
      <c r="E352" s="1" t="str">
        <f t="shared" si="102"/>
        <v>检验费</v>
      </c>
    </row>
    <row r="353" spans="1:5">
      <c r="A353" s="1" t="str">
        <f>"血清甘油三酯测定化学法、酶法"</f>
        <v>血清甘油三酯测定化学法、酶法</v>
      </c>
      <c r="B353" s="1">
        <v>5</v>
      </c>
      <c r="C353" s="1" t="str">
        <f t="shared" si="106"/>
        <v>项</v>
      </c>
      <c r="D353" s="1" t="str">
        <f t="shared" si="107"/>
        <v>项</v>
      </c>
      <c r="E353" s="1" t="str">
        <f t="shared" si="102"/>
        <v>检验费</v>
      </c>
    </row>
    <row r="354" spans="1:5">
      <c r="A354" s="1" t="str">
        <f>"血清高密度脂蛋白胆固醇测定"</f>
        <v>血清高密度脂蛋白胆固醇测定</v>
      </c>
      <c r="B354" s="1">
        <v>8</v>
      </c>
      <c r="C354" s="1" t="str">
        <f t="shared" si="106"/>
        <v>项</v>
      </c>
      <c r="D354" s="1" t="str">
        <f t="shared" si="107"/>
        <v>项</v>
      </c>
      <c r="E354" s="1" t="str">
        <f t="shared" si="102"/>
        <v>检验费</v>
      </c>
    </row>
    <row r="355" spans="1:5">
      <c r="A355" s="1" t="str">
        <f>"血清低密度脂蛋白胆固醇测定其他方法"</f>
        <v>血清低密度脂蛋白胆固醇测定其他方法</v>
      </c>
      <c r="B355" s="1">
        <v>4</v>
      </c>
      <c r="C355" s="1" t="str">
        <f t="shared" si="106"/>
        <v>项</v>
      </c>
      <c r="D355" s="1" t="str">
        <f t="shared" si="107"/>
        <v>项</v>
      </c>
      <c r="E355" s="1" t="str">
        <f t="shared" si="102"/>
        <v>检验费</v>
      </c>
    </row>
    <row r="356" spans="1:5">
      <c r="A356" s="1" t="str">
        <f>"血清载脂蛋白AⅠ测定"</f>
        <v>血清载脂蛋白AⅠ测定</v>
      </c>
      <c r="B356" s="1">
        <v>25</v>
      </c>
      <c r="C356" s="1" t="str">
        <f t="shared" si="106"/>
        <v>项</v>
      </c>
      <c r="D356" s="1" t="str">
        <f t="shared" si="107"/>
        <v>项</v>
      </c>
      <c r="E356" s="1" t="str">
        <f t="shared" si="102"/>
        <v>检验费</v>
      </c>
    </row>
    <row r="357" spans="1:5">
      <c r="A357" s="1" t="str">
        <f>"血清载脂蛋白B测定"</f>
        <v>血清载脂蛋白B测定</v>
      </c>
      <c r="B357" s="1">
        <v>25</v>
      </c>
      <c r="C357" s="1" t="str">
        <f t="shared" si="106"/>
        <v>项</v>
      </c>
      <c r="D357" s="1" t="str">
        <f t="shared" si="107"/>
        <v>项</v>
      </c>
      <c r="E357" s="1" t="str">
        <f t="shared" si="102"/>
        <v>检验费</v>
      </c>
    </row>
    <row r="358" spans="1:5">
      <c r="A358" s="1" t="str">
        <f>"血清载脂蛋白α测定其他方法"</f>
        <v>血清载脂蛋白α测定其他方法</v>
      </c>
      <c r="B358" s="1">
        <v>4</v>
      </c>
      <c r="C358" s="1" t="str">
        <f t="shared" si="106"/>
        <v>项</v>
      </c>
      <c r="D358" s="1" t="str">
        <f t="shared" si="107"/>
        <v>项</v>
      </c>
      <c r="E358" s="1" t="str">
        <f t="shared" si="102"/>
        <v>检验费</v>
      </c>
    </row>
    <row r="359" spans="1:5">
      <c r="A359" s="1" t="str">
        <f>"钾测定"</f>
        <v>钾测定</v>
      </c>
      <c r="B359" s="1">
        <v>4</v>
      </c>
      <c r="C359" s="1" t="str">
        <f t="shared" si="106"/>
        <v>项</v>
      </c>
      <c r="D359" s="1" t="str">
        <f t="shared" si="107"/>
        <v>项</v>
      </c>
      <c r="E359" s="1" t="str">
        <f t="shared" si="102"/>
        <v>检验费</v>
      </c>
    </row>
    <row r="360" spans="1:5">
      <c r="A360" s="1" t="str">
        <f>"钠测定"</f>
        <v>钠测定</v>
      </c>
      <c r="B360" s="1">
        <v>4</v>
      </c>
      <c r="C360" s="1" t="str">
        <f t="shared" si="106"/>
        <v>项</v>
      </c>
      <c r="D360" s="1" t="str">
        <f t="shared" si="107"/>
        <v>项</v>
      </c>
      <c r="E360" s="1" t="str">
        <f t="shared" si="102"/>
        <v>检验费</v>
      </c>
    </row>
    <row r="361" spans="1:5">
      <c r="A361" s="1" t="str">
        <f>"氯测定"</f>
        <v>氯测定</v>
      </c>
      <c r="B361" s="1">
        <v>4</v>
      </c>
      <c r="C361" s="1" t="str">
        <f t="shared" si="106"/>
        <v>项</v>
      </c>
      <c r="D361" s="1" t="str">
        <f t="shared" si="107"/>
        <v>项</v>
      </c>
      <c r="E361" s="1" t="str">
        <f t="shared" si="102"/>
        <v>检验费</v>
      </c>
    </row>
    <row r="362" spans="1:5">
      <c r="A362" s="1" t="str">
        <f>"钙测定"</f>
        <v>钙测定</v>
      </c>
      <c r="B362" s="1">
        <v>4</v>
      </c>
      <c r="C362" s="1" t="str">
        <f t="shared" si="106"/>
        <v>项</v>
      </c>
      <c r="D362" s="1" t="str">
        <f t="shared" si="107"/>
        <v>项</v>
      </c>
      <c r="E362" s="1" t="str">
        <f t="shared" si="102"/>
        <v>检验费</v>
      </c>
    </row>
    <row r="363" spans="1:5">
      <c r="A363" s="1" t="str">
        <f>"无机磷测定"</f>
        <v>无机磷测定</v>
      </c>
      <c r="B363" s="1">
        <v>4</v>
      </c>
      <c r="C363" s="1" t="str">
        <f t="shared" si="106"/>
        <v>项</v>
      </c>
      <c r="D363" s="1" t="str">
        <f t="shared" si="107"/>
        <v>项</v>
      </c>
      <c r="E363" s="1" t="str">
        <f t="shared" si="102"/>
        <v>检验费</v>
      </c>
    </row>
    <row r="364" spans="1:5">
      <c r="A364" s="1" t="str">
        <f>"全血铅测定（尿离子测定）"</f>
        <v>全血铅测定（尿离子测定）</v>
      </c>
      <c r="B364" s="1">
        <v>5</v>
      </c>
      <c r="C364" s="1" t="str">
        <f t="shared" si="106"/>
        <v>项</v>
      </c>
      <c r="D364" s="1" t="str">
        <f t="shared" si="107"/>
        <v>项</v>
      </c>
      <c r="E364" s="1" t="str">
        <f t="shared" si="102"/>
        <v>检验费</v>
      </c>
    </row>
    <row r="365" spans="1:5">
      <c r="A365" s="1" t="str">
        <f>"全血铅测定（原子法）"</f>
        <v>全血铅测定（原子法）</v>
      </c>
      <c r="B365" s="1">
        <v>20</v>
      </c>
      <c r="C365" s="1" t="str">
        <f>"次"</f>
        <v>次</v>
      </c>
      <c r="D365" s="1" t="str">
        <f>"次"</f>
        <v>次</v>
      </c>
      <c r="E365" s="1" t="str">
        <f t="shared" si="102"/>
        <v>检验费</v>
      </c>
    </row>
    <row r="366" spans="1:5">
      <c r="A366" s="1" t="str">
        <f>"血清碳酸氢盐(HCO3)测定"</f>
        <v>血清碳酸氢盐(HCO3)测定</v>
      </c>
      <c r="B366" s="1">
        <v>4</v>
      </c>
      <c r="C366" s="1" t="str">
        <f>"-"</f>
        <v>-</v>
      </c>
      <c r="D366" s="1" t="str">
        <f t="shared" ref="D366:D411" si="108">"项"</f>
        <v>项</v>
      </c>
      <c r="E366" s="1" t="str">
        <f t="shared" si="102"/>
        <v>检验费</v>
      </c>
    </row>
    <row r="367" spans="1:5">
      <c r="A367" s="1" t="str">
        <f>"微量元素测定"</f>
        <v>微量元素测定</v>
      </c>
      <c r="B367" s="1">
        <v>6</v>
      </c>
      <c r="C367" s="1" t="str">
        <f t="shared" ref="C367:C371" si="109">"项"</f>
        <v>项</v>
      </c>
      <c r="D367" s="1" t="str">
        <f t="shared" si="108"/>
        <v>项</v>
      </c>
      <c r="E367" s="1" t="str">
        <f t="shared" si="102"/>
        <v>检验费</v>
      </c>
    </row>
    <row r="368" spans="1:5">
      <c r="A368" s="1" t="str">
        <f>"微量元素测定(铜)"</f>
        <v>微量元素测定(铜)</v>
      </c>
      <c r="B368" s="1">
        <v>6</v>
      </c>
      <c r="C368" s="1" t="str">
        <f t="shared" si="109"/>
        <v>项</v>
      </c>
      <c r="D368" s="1" t="str">
        <f t="shared" si="108"/>
        <v>项</v>
      </c>
      <c r="E368" s="1" t="str">
        <f t="shared" si="102"/>
        <v>检验费</v>
      </c>
    </row>
    <row r="369" spans="1:5">
      <c r="A369" s="1" t="str">
        <f>"微量元素测定(锌)"</f>
        <v>微量元素测定(锌)</v>
      </c>
      <c r="B369" s="1">
        <v>6</v>
      </c>
      <c r="C369" s="1" t="str">
        <f t="shared" si="109"/>
        <v>项</v>
      </c>
      <c r="D369" s="1" t="str">
        <f t="shared" si="108"/>
        <v>项</v>
      </c>
      <c r="E369" s="1" t="str">
        <f t="shared" si="102"/>
        <v>检验费</v>
      </c>
    </row>
    <row r="370" spans="1:5">
      <c r="A370" s="1" t="str">
        <f>"血清总胆红素测定"</f>
        <v>血清总胆红素测定</v>
      </c>
      <c r="B370" s="1">
        <v>4</v>
      </c>
      <c r="C370" s="1" t="str">
        <f t="shared" si="109"/>
        <v>项</v>
      </c>
      <c r="D370" s="1" t="str">
        <f t="shared" si="108"/>
        <v>项</v>
      </c>
      <c r="E370" s="1" t="str">
        <f t="shared" si="102"/>
        <v>检验费</v>
      </c>
    </row>
    <row r="371" spans="1:5">
      <c r="A371" s="1" t="str">
        <f>"血清直接胆红素测定"</f>
        <v>血清直接胆红素测定</v>
      </c>
      <c r="B371" s="1">
        <v>4</v>
      </c>
      <c r="C371" s="1" t="str">
        <f t="shared" si="109"/>
        <v>项</v>
      </c>
      <c r="D371" s="1" t="str">
        <f t="shared" si="108"/>
        <v>项</v>
      </c>
      <c r="E371" s="1" t="str">
        <f t="shared" si="102"/>
        <v>检验费</v>
      </c>
    </row>
    <row r="372" spans="1:5">
      <c r="A372" s="1" t="str">
        <f>"血清间接胆红素测定"</f>
        <v>血清间接胆红素测定</v>
      </c>
      <c r="B372" s="1">
        <v>5</v>
      </c>
      <c r="C372" s="1" t="str">
        <f>"-"</f>
        <v>-</v>
      </c>
      <c r="D372" s="1" t="str">
        <f t="shared" si="108"/>
        <v>项</v>
      </c>
      <c r="E372" s="1" t="str">
        <f t="shared" si="102"/>
        <v>检验费</v>
      </c>
    </row>
    <row r="373" spans="1:5">
      <c r="A373" s="1" t="str">
        <f>"血清总胆汁酸测定"</f>
        <v>血清总胆汁酸测定</v>
      </c>
      <c r="B373" s="1">
        <v>5</v>
      </c>
      <c r="C373" s="1" t="str">
        <f t="shared" ref="C373:C379" si="110">"项"</f>
        <v>项</v>
      </c>
      <c r="D373" s="1" t="str">
        <f t="shared" si="108"/>
        <v>项</v>
      </c>
      <c r="E373" s="1" t="str">
        <f t="shared" si="102"/>
        <v>检验费</v>
      </c>
    </row>
    <row r="374" spans="1:5">
      <c r="A374" s="1" t="str">
        <f>"血清丙氨酸氨基转移酶测定"</f>
        <v>血清丙氨酸氨基转移酶测定</v>
      </c>
      <c r="B374" s="1">
        <v>2</v>
      </c>
      <c r="C374" s="1" t="str">
        <f t="shared" si="110"/>
        <v>项</v>
      </c>
      <c r="D374" s="1" t="str">
        <f t="shared" si="108"/>
        <v>项</v>
      </c>
      <c r="E374" s="1" t="str">
        <f t="shared" si="102"/>
        <v>检验费</v>
      </c>
    </row>
    <row r="375" spans="1:5">
      <c r="A375" s="1" t="str">
        <f>"(ALT)血清丙氨酸氨基转移酶测定"</f>
        <v>(ALT)血清丙氨酸氨基转移酶测定</v>
      </c>
      <c r="B375" s="1">
        <v>5</v>
      </c>
      <c r="C375" s="1" t="str">
        <f t="shared" si="110"/>
        <v>项</v>
      </c>
      <c r="D375" s="1" t="str">
        <f t="shared" si="108"/>
        <v>项</v>
      </c>
      <c r="E375" s="1" t="str">
        <f t="shared" si="102"/>
        <v>检验费</v>
      </c>
    </row>
    <row r="376" spans="1:5">
      <c r="A376" s="1" t="str">
        <f>"(AST)血清天门冬氨酸氨基转移酶测定速率法"</f>
        <v>(AST)血清天门冬氨酸氨基转移酶测定速率法</v>
      </c>
      <c r="B376" s="1">
        <v>5</v>
      </c>
      <c r="C376" s="1" t="str">
        <f t="shared" si="110"/>
        <v>项</v>
      </c>
      <c r="D376" s="1" t="str">
        <f t="shared" si="108"/>
        <v>项</v>
      </c>
      <c r="E376" s="1" t="str">
        <f t="shared" si="102"/>
        <v>检验费</v>
      </c>
    </row>
    <row r="377" spans="1:5">
      <c r="A377" s="1" t="str">
        <f>"血清γ-谷氨酰基转移酶测定速率法"</f>
        <v>血清γ-谷氨酰基转移酶测定速率法</v>
      </c>
      <c r="B377" s="1">
        <v>5</v>
      </c>
      <c r="C377" s="1" t="str">
        <f t="shared" si="110"/>
        <v>项</v>
      </c>
      <c r="D377" s="1" t="str">
        <f t="shared" si="108"/>
        <v>项</v>
      </c>
      <c r="E377" s="1" t="str">
        <f t="shared" si="102"/>
        <v>检验费</v>
      </c>
    </row>
    <row r="378" spans="1:5">
      <c r="A378" s="1" t="str">
        <f>"(AKP)血清碱性磷酸酶测定速率法"</f>
        <v>(AKP)血清碱性磷酸酶测定速率法</v>
      </c>
      <c r="B378" s="1">
        <v>5</v>
      </c>
      <c r="C378" s="1" t="str">
        <f t="shared" si="110"/>
        <v>项</v>
      </c>
      <c r="D378" s="1" t="str">
        <f t="shared" si="108"/>
        <v>项</v>
      </c>
      <c r="E378" s="1" t="str">
        <f t="shared" si="102"/>
        <v>检验费</v>
      </c>
    </row>
    <row r="379" spans="1:5">
      <c r="A379" s="1" t="str">
        <f>"血清骨型碱性磷酸酶质量测定（化学发光法）"</f>
        <v>血清骨型碱性磷酸酶质量测定（化学发光法）</v>
      </c>
      <c r="B379" s="1">
        <v>30</v>
      </c>
      <c r="C379" s="1" t="str">
        <f t="shared" si="110"/>
        <v>项</v>
      </c>
      <c r="D379" s="1" t="str">
        <f t="shared" si="108"/>
        <v>项</v>
      </c>
      <c r="E379" s="1" t="str">
        <f t="shared" si="102"/>
        <v>检验费</v>
      </c>
    </row>
    <row r="380" spans="1:5">
      <c r="A380" s="1" t="str">
        <f>"血清胆碱脂酶测定（速率法）"</f>
        <v>血清胆碱脂酶测定（速率法）</v>
      </c>
      <c r="B380" s="1">
        <v>5</v>
      </c>
      <c r="C380" s="1" t="str">
        <f t="shared" ref="C380:C383" si="111">"-"</f>
        <v>-</v>
      </c>
      <c r="D380" s="1" t="str">
        <f t="shared" si="108"/>
        <v>项</v>
      </c>
      <c r="E380" s="1" t="str">
        <f t="shared" si="102"/>
        <v>检验费</v>
      </c>
    </row>
    <row r="381" spans="1:5">
      <c r="A381" s="1" t="str">
        <f>"胆酸测定"</f>
        <v>胆酸测定</v>
      </c>
      <c r="B381" s="1">
        <v>10</v>
      </c>
      <c r="C381" s="1" t="str">
        <f t="shared" si="111"/>
        <v>-</v>
      </c>
      <c r="D381" s="1" t="str">
        <f t="shared" si="108"/>
        <v>项</v>
      </c>
      <c r="E381" s="1" t="str">
        <f t="shared" si="102"/>
        <v>检验费</v>
      </c>
    </row>
    <row r="382" spans="1:5">
      <c r="A382" s="1" t="str">
        <f>"血清肌酸激酶测定（速率法）"</f>
        <v>血清肌酸激酶测定（速率法）</v>
      </c>
      <c r="B382" s="1">
        <v>5</v>
      </c>
      <c r="C382" s="1" t="str">
        <f t="shared" si="111"/>
        <v>-</v>
      </c>
      <c r="D382" s="1" t="str">
        <f t="shared" si="108"/>
        <v>项</v>
      </c>
      <c r="E382" s="1" t="str">
        <f t="shared" si="102"/>
        <v>检验费</v>
      </c>
    </row>
    <row r="383" spans="1:5">
      <c r="A383" s="1" t="str">
        <f>"血清肌酸激酶-MB同工酶活性测定（速率法）"</f>
        <v>血清肌酸激酶-MB同工酶活性测定（速率法）</v>
      </c>
      <c r="B383" s="1">
        <v>5</v>
      </c>
      <c r="C383" s="1" t="str">
        <f t="shared" si="111"/>
        <v>-</v>
      </c>
      <c r="D383" s="1" t="str">
        <f t="shared" si="108"/>
        <v>项</v>
      </c>
      <c r="E383" s="1" t="str">
        <f t="shared" si="102"/>
        <v>检验费</v>
      </c>
    </row>
    <row r="384" spans="1:5">
      <c r="A384" s="1" t="str">
        <f>"血清肌酸激酶－MB同工酶质量测定"</f>
        <v>血清肌酸激酶－MB同工酶质量测定</v>
      </c>
      <c r="B384" s="1">
        <v>60</v>
      </c>
      <c r="C384" s="1" t="str">
        <f t="shared" ref="C384:C398" si="112">"项"</f>
        <v>项</v>
      </c>
      <c r="D384" s="1" t="str">
        <f t="shared" si="108"/>
        <v>项</v>
      </c>
      <c r="E384" s="1" t="str">
        <f t="shared" si="102"/>
        <v>检验费</v>
      </c>
    </row>
    <row r="385" spans="1:5">
      <c r="A385" s="1" t="str">
        <f>"(LDH)乳酸脱氢酶测定"</f>
        <v>(LDH)乳酸脱氢酶测定</v>
      </c>
      <c r="B385" s="1">
        <v>5</v>
      </c>
      <c r="C385" s="1" t="str">
        <f t="shared" si="112"/>
        <v>项</v>
      </c>
      <c r="D385" s="1" t="str">
        <f t="shared" si="108"/>
        <v>项</v>
      </c>
      <c r="E385" s="1" t="str">
        <f t="shared" si="102"/>
        <v>检验费</v>
      </c>
    </row>
    <row r="386" spans="1:5">
      <c r="A386" s="1" t="str">
        <f>"血清α羟基丁酸脱氢酶测定速率法"</f>
        <v>血清α羟基丁酸脱氢酶测定速率法</v>
      </c>
      <c r="B386" s="1">
        <v>10</v>
      </c>
      <c r="C386" s="1" t="str">
        <f t="shared" si="112"/>
        <v>项</v>
      </c>
      <c r="D386" s="1" t="str">
        <f t="shared" si="108"/>
        <v>项</v>
      </c>
      <c r="E386" s="1" t="str">
        <f t="shared" si="102"/>
        <v>检验费</v>
      </c>
    </row>
    <row r="387" spans="1:5">
      <c r="A387" s="1" t="str">
        <f>"血清肌钙蛋白T测定化学发光法"</f>
        <v>血清肌钙蛋白T测定化学发光法</v>
      </c>
      <c r="B387" s="1">
        <v>70</v>
      </c>
      <c r="C387" s="1" t="str">
        <f t="shared" si="112"/>
        <v>项</v>
      </c>
      <c r="D387" s="1" t="str">
        <f t="shared" si="108"/>
        <v>项</v>
      </c>
      <c r="E387" s="1" t="str">
        <f t="shared" si="102"/>
        <v>检验费</v>
      </c>
    </row>
    <row r="388" spans="1:5">
      <c r="A388" s="1" t="str">
        <f>"血清肌钙蛋白Ⅰ测定"</f>
        <v>血清肌钙蛋白Ⅰ测定</v>
      </c>
      <c r="B388" s="1">
        <v>80</v>
      </c>
      <c r="C388" s="1" t="str">
        <f t="shared" si="112"/>
        <v>项</v>
      </c>
      <c r="D388" s="1" t="str">
        <f t="shared" si="108"/>
        <v>项</v>
      </c>
      <c r="E388" s="1" t="str">
        <f t="shared" si="102"/>
        <v>检验费</v>
      </c>
    </row>
    <row r="389" spans="1:5">
      <c r="A389" s="1" t="str">
        <f>"血清肌钙蛋白Ⅰ测定荧光免疫法"</f>
        <v>血清肌钙蛋白Ⅰ测定荧光免疫法</v>
      </c>
      <c r="B389" s="1">
        <v>70</v>
      </c>
      <c r="C389" s="1" t="str">
        <f t="shared" si="112"/>
        <v>项</v>
      </c>
      <c r="D389" s="1" t="str">
        <f t="shared" si="108"/>
        <v>项</v>
      </c>
      <c r="E389" s="1" t="str">
        <f t="shared" si="102"/>
        <v>检验费</v>
      </c>
    </row>
    <row r="390" spans="1:5">
      <c r="A390" s="1" t="str">
        <f>"血清肌红蛋白测定"</f>
        <v>血清肌红蛋白测定</v>
      </c>
      <c r="B390" s="1">
        <v>60</v>
      </c>
      <c r="C390" s="1" t="str">
        <f t="shared" si="112"/>
        <v>项</v>
      </c>
      <c r="D390" s="1" t="str">
        <f t="shared" si="108"/>
        <v>项</v>
      </c>
      <c r="E390" s="1" t="str">
        <f t="shared" si="102"/>
        <v>检验费</v>
      </c>
    </row>
    <row r="391" spans="1:5">
      <c r="A391" s="1" t="str">
        <f>"血清肌红蛋白测定荧光免疫法"</f>
        <v>血清肌红蛋白测定荧光免疫法</v>
      </c>
      <c r="B391" s="1">
        <v>60</v>
      </c>
      <c r="C391" s="1" t="str">
        <f t="shared" si="112"/>
        <v>项</v>
      </c>
      <c r="D391" s="1" t="str">
        <f t="shared" si="108"/>
        <v>项</v>
      </c>
      <c r="E391" s="1" t="str">
        <f t="shared" si="102"/>
        <v>检验费</v>
      </c>
    </row>
    <row r="392" spans="1:5">
      <c r="A392" s="1" t="str">
        <f>"血同型半胱氨酸测定各种免疫学方法"</f>
        <v>血同型半胱氨酸测定各种免疫学方法</v>
      </c>
      <c r="B392" s="1">
        <v>60</v>
      </c>
      <c r="C392" s="1" t="str">
        <f t="shared" si="112"/>
        <v>项</v>
      </c>
      <c r="D392" s="1" t="str">
        <f t="shared" si="108"/>
        <v>项</v>
      </c>
      <c r="E392" s="1" t="str">
        <f t="shared" si="102"/>
        <v>检验费</v>
      </c>
    </row>
    <row r="393" spans="1:5">
      <c r="A393" s="1" t="str">
        <f>"前脑钠肽（N端）"</f>
        <v>前脑钠肽（N端）</v>
      </c>
      <c r="B393" s="1">
        <v>230</v>
      </c>
      <c r="C393" s="1" t="str">
        <f t="shared" si="112"/>
        <v>项</v>
      </c>
      <c r="D393" s="1" t="str">
        <f t="shared" si="108"/>
        <v>项</v>
      </c>
      <c r="E393" s="1" t="str">
        <f t="shared" si="102"/>
        <v>检验费</v>
      </c>
    </row>
    <row r="394" spans="1:5">
      <c r="A394" s="1" t="str">
        <f>"N端-前脑钠肽（NT-PROBNP）测定"</f>
        <v>N端-前脑钠肽（NT-PROBNP）测定</v>
      </c>
      <c r="B394" s="1">
        <v>180</v>
      </c>
      <c r="C394" s="1" t="str">
        <f t="shared" si="112"/>
        <v>项</v>
      </c>
      <c r="D394" s="1" t="str">
        <f t="shared" si="108"/>
        <v>项</v>
      </c>
      <c r="E394" s="1" t="str">
        <f t="shared" si="102"/>
        <v>检验费</v>
      </c>
    </row>
    <row r="395" spans="1:5">
      <c r="A395" s="1" t="str">
        <f>"尿素测定"</f>
        <v>尿素测定</v>
      </c>
      <c r="B395" s="1">
        <v>4</v>
      </c>
      <c r="C395" s="1" t="str">
        <f t="shared" si="112"/>
        <v>项</v>
      </c>
      <c r="D395" s="1" t="str">
        <f t="shared" si="108"/>
        <v>项</v>
      </c>
      <c r="E395" s="1" t="str">
        <f t="shared" si="102"/>
        <v>检验费</v>
      </c>
    </row>
    <row r="396" spans="1:5">
      <c r="A396" s="1" t="str">
        <f>"肌酐测定"</f>
        <v>肌酐测定</v>
      </c>
      <c r="B396" s="1">
        <v>4</v>
      </c>
      <c r="C396" s="1" t="str">
        <f t="shared" si="112"/>
        <v>项</v>
      </c>
      <c r="D396" s="1" t="str">
        <f t="shared" si="108"/>
        <v>项</v>
      </c>
      <c r="E396" s="1" t="str">
        <f t="shared" si="102"/>
        <v>检验费</v>
      </c>
    </row>
    <row r="397" spans="1:5">
      <c r="A397" s="1" t="str">
        <f>"肌酐测定干化学法"</f>
        <v>肌酐测定干化学法</v>
      </c>
      <c r="B397" s="1">
        <v>10</v>
      </c>
      <c r="C397" s="1" t="str">
        <f t="shared" si="112"/>
        <v>项</v>
      </c>
      <c r="D397" s="1" t="str">
        <f t="shared" si="108"/>
        <v>项</v>
      </c>
      <c r="E397" s="1" t="str">
        <f t="shared" si="102"/>
        <v>检验费</v>
      </c>
    </row>
    <row r="398" spans="1:5">
      <c r="A398" s="1" t="str">
        <f>"血清尿酸测定"</f>
        <v>血清尿酸测定</v>
      </c>
      <c r="B398" s="1">
        <v>3</v>
      </c>
      <c r="C398" s="1" t="str">
        <f t="shared" si="112"/>
        <v>项</v>
      </c>
      <c r="D398" s="1" t="str">
        <f t="shared" si="108"/>
        <v>项</v>
      </c>
      <c r="E398" s="1" t="str">
        <f t="shared" si="102"/>
        <v>检验费</v>
      </c>
    </row>
    <row r="399" spans="1:5">
      <c r="A399" s="1" t="str">
        <f>"尿微量白蛋白测定（化学发光法）"</f>
        <v>尿微量白蛋白测定（化学发光法）</v>
      </c>
      <c r="B399" s="1">
        <v>55</v>
      </c>
      <c r="C399" s="1" t="str">
        <f>"-"</f>
        <v>-</v>
      </c>
      <c r="D399" s="1" t="str">
        <f t="shared" si="108"/>
        <v>项</v>
      </c>
      <c r="E399" s="1" t="str">
        <f t="shared" si="102"/>
        <v>检验费</v>
      </c>
    </row>
    <row r="400" spans="1:5">
      <c r="A400" s="1" t="str">
        <f>"尿微量白蛋白测定散射比浊法"</f>
        <v>尿微量白蛋白测定散射比浊法</v>
      </c>
      <c r="B400" s="1">
        <v>35</v>
      </c>
      <c r="C400" s="1" t="str">
        <f t="shared" ref="C400:C403" si="113">"项"</f>
        <v>项</v>
      </c>
      <c r="D400" s="1" t="str">
        <f t="shared" si="108"/>
        <v>项</v>
      </c>
      <c r="E400" s="1" t="str">
        <f t="shared" si="102"/>
        <v>检验费</v>
      </c>
    </row>
    <row r="401" spans="1:5">
      <c r="A401" s="1" t="str">
        <f>"血β-2微球蛋白测定（免疫比浊法）"</f>
        <v>血β-2微球蛋白测定（免疫比浊法）</v>
      </c>
      <c r="B401" s="1">
        <v>15</v>
      </c>
      <c r="C401" s="1" t="str">
        <f t="shared" si="113"/>
        <v>项</v>
      </c>
      <c r="D401" s="1" t="str">
        <f t="shared" si="108"/>
        <v>项</v>
      </c>
      <c r="E401" s="1" t="str">
        <f t="shared" ref="E401:E464" si="114">"检验费"</f>
        <v>检验费</v>
      </c>
    </row>
    <row r="402" spans="1:5">
      <c r="A402" s="1" t="str">
        <f>"尿浓缩试验"</f>
        <v>尿浓缩试验</v>
      </c>
      <c r="B402" s="1">
        <v>10</v>
      </c>
      <c r="C402" s="1" t="str">
        <f t="shared" si="113"/>
        <v>项</v>
      </c>
      <c r="D402" s="1" t="str">
        <f t="shared" si="108"/>
        <v>项</v>
      </c>
      <c r="E402" s="1" t="str">
        <f t="shared" si="114"/>
        <v>检验费</v>
      </c>
    </row>
    <row r="403" spans="1:5">
      <c r="A403" s="1" t="str">
        <f>"淀粉酶测定"</f>
        <v>淀粉酶测定</v>
      </c>
      <c r="B403" s="1">
        <v>6</v>
      </c>
      <c r="C403" s="1" t="str">
        <f t="shared" si="113"/>
        <v>项</v>
      </c>
      <c r="D403" s="1" t="str">
        <f t="shared" si="108"/>
        <v>项</v>
      </c>
      <c r="E403" s="1" t="str">
        <f t="shared" si="114"/>
        <v>检验费</v>
      </c>
    </row>
    <row r="404" spans="1:5">
      <c r="A404" s="1" t="str">
        <f>"尿淀粉酶测定（比色法、速率法）"</f>
        <v>尿淀粉酶测定（比色法、速率法）</v>
      </c>
      <c r="B404" s="1">
        <v>6</v>
      </c>
      <c r="C404" s="1">
        <v>1</v>
      </c>
      <c r="D404" s="1" t="str">
        <f t="shared" si="108"/>
        <v>项</v>
      </c>
      <c r="E404" s="1" t="str">
        <f t="shared" si="114"/>
        <v>检验费</v>
      </c>
    </row>
    <row r="405" spans="1:5">
      <c r="A405" s="1" t="str">
        <f>"淀粉酶测定（腹水）"</f>
        <v>淀粉酶测定（腹水）</v>
      </c>
      <c r="B405" s="1">
        <v>6</v>
      </c>
      <c r="C405" s="1" t="str">
        <f t="shared" ref="C405:C409" si="115">"项"</f>
        <v>项</v>
      </c>
      <c r="D405" s="1" t="str">
        <f t="shared" si="108"/>
        <v>项</v>
      </c>
      <c r="E405" s="1" t="str">
        <f t="shared" si="114"/>
        <v>检验费</v>
      </c>
    </row>
    <row r="406" spans="1:5">
      <c r="A406" s="1" t="str">
        <f>"血清骨钙素测定"</f>
        <v>血清骨钙素测定</v>
      </c>
      <c r="B406" s="1">
        <v>90</v>
      </c>
      <c r="C406" s="1" t="str">
        <f>"次"</f>
        <v>次</v>
      </c>
      <c r="D406" s="1" t="str">
        <f t="shared" si="108"/>
        <v>项</v>
      </c>
      <c r="E406" s="1" t="str">
        <f t="shared" si="114"/>
        <v>检验费</v>
      </c>
    </row>
    <row r="407" spans="1:5">
      <c r="A407" s="1" t="str">
        <f>"胸苷激酶1（TK1）测定"</f>
        <v>胸苷激酶1（TK1）测定</v>
      </c>
      <c r="B407" s="1">
        <v>245</v>
      </c>
      <c r="C407" s="1" t="str">
        <f t="shared" si="115"/>
        <v>项</v>
      </c>
      <c r="D407" s="1" t="str">
        <f t="shared" si="108"/>
        <v>项</v>
      </c>
      <c r="E407" s="1" t="str">
        <f t="shared" si="114"/>
        <v>检验费</v>
      </c>
    </row>
    <row r="408" spans="1:5">
      <c r="A408" s="1" t="str">
        <f>"25羟维生素D测定"</f>
        <v>25羟维生素D测定</v>
      </c>
      <c r="B408" s="1">
        <v>20</v>
      </c>
      <c r="C408" s="1" t="str">
        <f t="shared" si="115"/>
        <v>项</v>
      </c>
      <c r="D408" s="1" t="str">
        <f t="shared" si="108"/>
        <v>项</v>
      </c>
      <c r="E408" s="1" t="str">
        <f t="shared" si="114"/>
        <v>检验费</v>
      </c>
    </row>
    <row r="409" spans="1:5">
      <c r="A409" s="1" t="str">
        <f>"25羟维生素D测定ELISA法"</f>
        <v>25羟维生素D测定ELISA法</v>
      </c>
      <c r="B409" s="1">
        <v>85</v>
      </c>
      <c r="C409" s="1" t="str">
        <f t="shared" si="115"/>
        <v>项</v>
      </c>
      <c r="D409" s="1" t="str">
        <f t="shared" si="108"/>
        <v>项</v>
      </c>
      <c r="E409" s="1" t="str">
        <f t="shared" si="114"/>
        <v>检验费</v>
      </c>
    </row>
    <row r="410" spans="1:5">
      <c r="A410" s="1" t="str">
        <f>"25羟维生素D测定"</f>
        <v>25羟维生素D测定</v>
      </c>
      <c r="B410" s="1">
        <v>110</v>
      </c>
      <c r="C410" s="1" t="str">
        <f>"-"</f>
        <v>-</v>
      </c>
      <c r="D410" s="1" t="str">
        <f t="shared" si="108"/>
        <v>项</v>
      </c>
      <c r="E410" s="1" t="str">
        <f t="shared" si="114"/>
        <v>检验费</v>
      </c>
    </row>
    <row r="411" spans="1:5">
      <c r="A411" s="1" t="str">
        <f>"血清维生素A测定"</f>
        <v>血清维生素A测定</v>
      </c>
      <c r="B411" s="1">
        <v>40</v>
      </c>
      <c r="C411" s="1" t="str">
        <f t="shared" ref="C411:C426" si="116">"项"</f>
        <v>项</v>
      </c>
      <c r="D411" s="1" t="str">
        <f t="shared" si="108"/>
        <v>项</v>
      </c>
      <c r="E411" s="1" t="str">
        <f t="shared" si="114"/>
        <v>检验费</v>
      </c>
    </row>
    <row r="412" spans="1:5">
      <c r="A412" s="1" t="str">
        <f>"药物浓度测定"</f>
        <v>药物浓度测定</v>
      </c>
      <c r="B412" s="1">
        <v>100</v>
      </c>
      <c r="C412" s="1" t="str">
        <f>"每种药物"</f>
        <v>每种药物</v>
      </c>
      <c r="D412" s="1" t="str">
        <f>"每种药物"</f>
        <v>每种药物</v>
      </c>
      <c r="E412" s="1" t="str">
        <f t="shared" si="114"/>
        <v>检验费</v>
      </c>
    </row>
    <row r="413" spans="1:5">
      <c r="A413" s="1" t="str">
        <f>"血清促甲状腺激素测定各种免疫学方法"</f>
        <v>血清促甲状腺激素测定各种免疫学方法</v>
      </c>
      <c r="B413" s="1">
        <v>20</v>
      </c>
      <c r="C413" s="1" t="str">
        <f t="shared" si="116"/>
        <v>项</v>
      </c>
      <c r="D413" s="1" t="str">
        <f t="shared" ref="D413:D437" si="117">"项"</f>
        <v>项</v>
      </c>
      <c r="E413" s="1" t="str">
        <f t="shared" si="114"/>
        <v>检验费</v>
      </c>
    </row>
    <row r="414" spans="1:5">
      <c r="A414" s="1" t="str">
        <f>"(TSH)血清促甲状腺激素测定"</f>
        <v>(TSH)血清促甲状腺激素测定</v>
      </c>
      <c r="B414" s="1">
        <v>40</v>
      </c>
      <c r="C414" s="1" t="str">
        <f t="shared" si="116"/>
        <v>项</v>
      </c>
      <c r="D414" s="1" t="str">
        <f t="shared" si="117"/>
        <v>项</v>
      </c>
      <c r="E414" s="1" t="str">
        <f t="shared" si="114"/>
        <v>检验费</v>
      </c>
    </row>
    <row r="415" spans="1:5">
      <c r="A415" s="1" t="str">
        <f>"(PRL)血清泌乳素测定"</f>
        <v>(PRL)血清泌乳素测定</v>
      </c>
      <c r="B415" s="1">
        <v>45</v>
      </c>
      <c r="C415" s="1" t="str">
        <f t="shared" si="116"/>
        <v>项</v>
      </c>
      <c r="D415" s="1" t="str">
        <f t="shared" si="117"/>
        <v>项</v>
      </c>
      <c r="E415" s="1" t="str">
        <f t="shared" si="114"/>
        <v>检验费</v>
      </c>
    </row>
    <row r="416" spans="1:5">
      <c r="A416" s="1" t="str">
        <f>"(FSH)血清促卵泡刺激素测定"</f>
        <v>(FSH)血清促卵泡刺激素测定</v>
      </c>
      <c r="B416" s="1">
        <v>40</v>
      </c>
      <c r="C416" s="1" t="str">
        <f t="shared" si="116"/>
        <v>项</v>
      </c>
      <c r="D416" s="1" t="str">
        <f t="shared" si="117"/>
        <v>项</v>
      </c>
      <c r="E416" s="1" t="str">
        <f t="shared" si="114"/>
        <v>检验费</v>
      </c>
    </row>
    <row r="417" spans="1:5">
      <c r="A417" s="1" t="str">
        <f>"(LH)血清促黄体生成素测定"</f>
        <v>(LH)血清促黄体生成素测定</v>
      </c>
      <c r="B417" s="1">
        <v>40</v>
      </c>
      <c r="C417" s="1" t="str">
        <f t="shared" si="116"/>
        <v>项</v>
      </c>
      <c r="D417" s="1" t="str">
        <f t="shared" si="117"/>
        <v>项</v>
      </c>
      <c r="E417" s="1" t="str">
        <f t="shared" si="114"/>
        <v>检验费</v>
      </c>
    </row>
    <row r="418" spans="1:5">
      <c r="A418" s="1" t="str">
        <f>"降钙素测定（化学发光法）"</f>
        <v>降钙素测定（化学发光法）</v>
      </c>
      <c r="B418" s="1">
        <v>60</v>
      </c>
      <c r="C418" s="1" t="str">
        <f t="shared" si="116"/>
        <v>项</v>
      </c>
      <c r="D418" s="1" t="str">
        <f t="shared" si="117"/>
        <v>项</v>
      </c>
      <c r="E418" s="1" t="str">
        <f t="shared" si="114"/>
        <v>检验费</v>
      </c>
    </row>
    <row r="419" spans="1:5">
      <c r="A419" s="1" t="str">
        <f>"甲状旁腺激素测定"</f>
        <v>甲状旁腺激素测定</v>
      </c>
      <c r="B419" s="1">
        <v>40</v>
      </c>
      <c r="C419" s="1" t="str">
        <f t="shared" si="116"/>
        <v>项</v>
      </c>
      <c r="D419" s="1" t="str">
        <f t="shared" si="117"/>
        <v>项</v>
      </c>
      <c r="E419" s="1" t="str">
        <f t="shared" si="114"/>
        <v>检验费</v>
      </c>
    </row>
    <row r="420" spans="1:5">
      <c r="A420" s="1" t="str">
        <f>"血清甲状腺素(T4)测定"</f>
        <v>血清甲状腺素(T4)测定</v>
      </c>
      <c r="B420" s="1">
        <v>40</v>
      </c>
      <c r="C420" s="1" t="str">
        <f t="shared" si="116"/>
        <v>项</v>
      </c>
      <c r="D420" s="1" t="str">
        <f t="shared" si="117"/>
        <v>项</v>
      </c>
      <c r="E420" s="1" t="str">
        <f t="shared" si="114"/>
        <v>检验费</v>
      </c>
    </row>
    <row r="421" spans="1:5">
      <c r="A421" s="1" t="str">
        <f>"血清三碘甲状原氨酸(T3)测定"</f>
        <v>血清三碘甲状原氨酸(T3)测定</v>
      </c>
      <c r="B421" s="1">
        <v>40</v>
      </c>
      <c r="C421" s="1" t="str">
        <f t="shared" si="116"/>
        <v>项</v>
      </c>
      <c r="D421" s="1" t="str">
        <f t="shared" si="117"/>
        <v>项</v>
      </c>
      <c r="E421" s="1" t="str">
        <f t="shared" si="114"/>
        <v>检验费</v>
      </c>
    </row>
    <row r="422" spans="1:5">
      <c r="A422" s="1" t="str">
        <f>"血清游离甲状腺素(FT4)测定"</f>
        <v>血清游离甲状腺素(FT4)测定</v>
      </c>
      <c r="B422" s="1">
        <v>40</v>
      </c>
      <c r="C422" s="1" t="str">
        <f t="shared" si="116"/>
        <v>项</v>
      </c>
      <c r="D422" s="1" t="str">
        <f t="shared" si="117"/>
        <v>项</v>
      </c>
      <c r="E422" s="1" t="str">
        <f t="shared" si="114"/>
        <v>检验费</v>
      </c>
    </row>
    <row r="423" spans="1:5">
      <c r="A423" s="1" t="str">
        <f>"血清游离三碘甲状原氨酸(FT3)测定"</f>
        <v>血清游离三碘甲状原氨酸(FT3)测定</v>
      </c>
      <c r="B423" s="1">
        <v>40</v>
      </c>
      <c r="C423" s="1" t="str">
        <f t="shared" si="116"/>
        <v>项</v>
      </c>
      <c r="D423" s="1" t="str">
        <f t="shared" si="117"/>
        <v>项</v>
      </c>
      <c r="E423" s="1" t="str">
        <f t="shared" si="114"/>
        <v>检验费</v>
      </c>
    </row>
    <row r="424" spans="1:5">
      <c r="A424" s="1" t="str">
        <f>"性激素结合球蛋白（HSBG）"</f>
        <v>性激素结合球蛋白（HSBG）</v>
      </c>
      <c r="B424" s="1">
        <v>60</v>
      </c>
      <c r="C424" s="1" t="str">
        <f t="shared" si="116"/>
        <v>项</v>
      </c>
      <c r="D424" s="1" t="str">
        <f t="shared" si="117"/>
        <v>项</v>
      </c>
      <c r="E424" s="1" t="str">
        <f t="shared" si="114"/>
        <v>检验费</v>
      </c>
    </row>
    <row r="425" spans="1:5">
      <c r="A425" s="1" t="str">
        <f>"(TRAB)促甲状腺素受体抗体测定"</f>
        <v>(TRAB)促甲状腺素受体抗体测定</v>
      </c>
      <c r="B425" s="1">
        <v>60</v>
      </c>
      <c r="C425" s="1" t="str">
        <f t="shared" si="116"/>
        <v>项</v>
      </c>
      <c r="D425" s="1" t="str">
        <f t="shared" si="117"/>
        <v>项</v>
      </c>
      <c r="E425" s="1" t="str">
        <f t="shared" si="114"/>
        <v>检验费</v>
      </c>
    </row>
    <row r="426" spans="1:5">
      <c r="A426" s="1" t="str">
        <f>"血清脱氢表雄酮及硫酸酯测定"</f>
        <v>血清脱氢表雄酮及硫酸酯测定</v>
      </c>
      <c r="B426" s="1">
        <v>40</v>
      </c>
      <c r="C426" s="1" t="str">
        <f t="shared" si="116"/>
        <v>项</v>
      </c>
      <c r="D426" s="1" t="str">
        <f t="shared" si="117"/>
        <v>项</v>
      </c>
      <c r="E426" s="1" t="str">
        <f t="shared" si="114"/>
        <v>检验费</v>
      </c>
    </row>
    <row r="427" spans="1:5">
      <c r="A427" s="1" t="str">
        <f>"醛固酮测定(化学发光法、荧光免疫法)"</f>
        <v>醛固酮测定(化学发光法、荧光免疫法)</v>
      </c>
      <c r="B427" s="1">
        <v>40</v>
      </c>
      <c r="C427" s="1" t="str">
        <f t="shared" ref="C427:C430" si="118">"-"</f>
        <v>-</v>
      </c>
      <c r="D427" s="1" t="str">
        <f t="shared" si="117"/>
        <v>项</v>
      </c>
      <c r="E427" s="1" t="str">
        <f t="shared" si="114"/>
        <v>检验费</v>
      </c>
    </row>
    <row r="428" spans="1:5">
      <c r="A428" s="1" t="str">
        <f>"血浆肾素活性测定"</f>
        <v>血浆肾素活性测定</v>
      </c>
      <c r="B428" s="1">
        <v>30</v>
      </c>
      <c r="C428" s="1" t="str">
        <f t="shared" si="118"/>
        <v>-</v>
      </c>
      <c r="D428" s="1" t="str">
        <f t="shared" si="117"/>
        <v>项</v>
      </c>
      <c r="E428" s="1" t="str">
        <f t="shared" si="114"/>
        <v>检验费</v>
      </c>
    </row>
    <row r="429" spans="1:5">
      <c r="A429" s="1" t="str">
        <f>"血管紧张素Ⅰ测定"</f>
        <v>血管紧张素Ⅰ测定</v>
      </c>
      <c r="B429" s="1">
        <v>12</v>
      </c>
      <c r="C429" s="1" t="str">
        <f t="shared" si="118"/>
        <v>-</v>
      </c>
      <c r="D429" s="1" t="str">
        <f t="shared" si="117"/>
        <v>项</v>
      </c>
      <c r="E429" s="1" t="str">
        <f t="shared" si="114"/>
        <v>检验费</v>
      </c>
    </row>
    <row r="430" spans="1:5">
      <c r="A430" s="1" t="str">
        <f>"血管紧张素Ⅱ测定"</f>
        <v>血管紧张素Ⅱ测定</v>
      </c>
      <c r="B430" s="1">
        <v>12</v>
      </c>
      <c r="C430" s="1" t="str">
        <f t="shared" si="118"/>
        <v>-</v>
      </c>
      <c r="D430" s="1" t="str">
        <f t="shared" si="117"/>
        <v>项</v>
      </c>
      <c r="E430" s="1" t="str">
        <f t="shared" si="114"/>
        <v>检验费</v>
      </c>
    </row>
    <row r="431" spans="1:5">
      <c r="A431" s="1" t="str">
        <f>"促红细胞生成素测定化学发光法"</f>
        <v>促红细胞生成素测定化学发光法</v>
      </c>
      <c r="B431" s="1">
        <v>70</v>
      </c>
      <c r="C431" s="1" t="str">
        <f t="shared" ref="C431:C437" si="119">"项"</f>
        <v>项</v>
      </c>
      <c r="D431" s="1" t="str">
        <f t="shared" si="117"/>
        <v>项</v>
      </c>
      <c r="E431" s="1" t="str">
        <f t="shared" si="114"/>
        <v>检验费</v>
      </c>
    </row>
    <row r="432" spans="1:5">
      <c r="A432" s="1" t="str">
        <f>"(T)睾酮测定"</f>
        <v>(T)睾酮测定</v>
      </c>
      <c r="B432" s="1">
        <v>60</v>
      </c>
      <c r="C432" s="1" t="str">
        <f t="shared" si="119"/>
        <v>项</v>
      </c>
      <c r="D432" s="1" t="str">
        <f t="shared" si="117"/>
        <v>项</v>
      </c>
      <c r="E432" s="1" t="str">
        <f t="shared" si="114"/>
        <v>检验费</v>
      </c>
    </row>
    <row r="433" spans="1:5">
      <c r="A433" s="1" t="str">
        <f>"血清双氢睾酮测定"</f>
        <v>血清双氢睾酮测定</v>
      </c>
      <c r="B433" s="1">
        <v>60</v>
      </c>
      <c r="C433" s="1" t="str">
        <f t="shared" si="119"/>
        <v>项</v>
      </c>
      <c r="D433" s="1" t="str">
        <f t="shared" si="117"/>
        <v>项</v>
      </c>
      <c r="E433" s="1" t="str">
        <f t="shared" si="114"/>
        <v>检验费</v>
      </c>
    </row>
    <row r="434" spans="1:5">
      <c r="A434" s="1" t="str">
        <f>"17α羟孕酮测定（化学发光法、荧光免疫法）"</f>
        <v>17α羟孕酮测定（化学发光法、荧光免疫法）</v>
      </c>
      <c r="B434" s="1">
        <v>35</v>
      </c>
      <c r="C434" s="1" t="str">
        <f t="shared" si="119"/>
        <v>项</v>
      </c>
      <c r="D434" s="1" t="str">
        <f t="shared" si="117"/>
        <v>项</v>
      </c>
      <c r="E434" s="1" t="str">
        <f t="shared" si="114"/>
        <v>检验费</v>
      </c>
    </row>
    <row r="435" spans="1:5">
      <c r="A435" s="1" t="str">
        <f>"(E2)雌二醇测定"</f>
        <v>(E2)雌二醇测定</v>
      </c>
      <c r="B435" s="1">
        <v>60</v>
      </c>
      <c r="C435" s="1" t="str">
        <f t="shared" si="119"/>
        <v>项</v>
      </c>
      <c r="D435" s="1" t="str">
        <f t="shared" si="117"/>
        <v>项</v>
      </c>
      <c r="E435" s="1" t="str">
        <f t="shared" si="114"/>
        <v>检验费</v>
      </c>
    </row>
    <row r="436" spans="1:5">
      <c r="A436" s="1" t="str">
        <f>"(P)孕酮测定"</f>
        <v>(P)孕酮测定</v>
      </c>
      <c r="B436" s="1">
        <v>60</v>
      </c>
      <c r="C436" s="1" t="str">
        <f t="shared" si="119"/>
        <v>项</v>
      </c>
      <c r="D436" s="1" t="str">
        <f t="shared" si="117"/>
        <v>项</v>
      </c>
      <c r="E436" s="1" t="str">
        <f t="shared" si="114"/>
        <v>检验费</v>
      </c>
    </row>
    <row r="437" spans="1:5">
      <c r="A437" s="1" t="str">
        <f>"(HCG)血清人绒毛膜促性腺激素测定"</f>
        <v>(HCG)血清人绒毛膜促性腺激素测定</v>
      </c>
      <c r="B437" s="1">
        <v>40</v>
      </c>
      <c r="C437" s="1" t="str">
        <f t="shared" si="119"/>
        <v>项</v>
      </c>
      <c r="D437" s="1" t="str">
        <f t="shared" si="117"/>
        <v>项</v>
      </c>
      <c r="E437" s="1" t="str">
        <f t="shared" si="114"/>
        <v>检验费</v>
      </c>
    </row>
    <row r="438" spans="1:5">
      <c r="A438" s="1" t="str">
        <f>"人绒毛膜促性腺激素(HCG)定量测定"</f>
        <v>人绒毛膜促性腺激素(HCG)定量测定</v>
      </c>
      <c r="B438" s="1">
        <v>35</v>
      </c>
      <c r="C438" s="1" t="str">
        <f>"例"</f>
        <v>例</v>
      </c>
      <c r="D438" s="1" t="str">
        <f>"例"</f>
        <v>例</v>
      </c>
      <c r="E438" s="1" t="str">
        <f t="shared" si="114"/>
        <v>检验费</v>
      </c>
    </row>
    <row r="439" spans="1:5">
      <c r="A439" s="1" t="str">
        <f>"血清胰岛素测定（各种免疫学方法）"</f>
        <v>血清胰岛素测定（各种免疫学方法）</v>
      </c>
      <c r="B439" s="1">
        <v>10</v>
      </c>
      <c r="C439" s="1" t="str">
        <f t="shared" ref="C439:C443" si="120">"项"</f>
        <v>项</v>
      </c>
      <c r="D439" s="1" t="str">
        <f t="shared" ref="D439:D446" si="121">"项"</f>
        <v>项</v>
      </c>
      <c r="E439" s="1" t="str">
        <f t="shared" si="114"/>
        <v>检验费</v>
      </c>
    </row>
    <row r="440" spans="1:5">
      <c r="A440" s="1" t="str">
        <f>"(INS)血清胰岛素测定"</f>
        <v>(INS)血清胰岛素测定</v>
      </c>
      <c r="B440" s="1">
        <v>40</v>
      </c>
      <c r="C440" s="1" t="str">
        <f t="shared" si="120"/>
        <v>项</v>
      </c>
      <c r="D440" s="1" t="str">
        <f t="shared" si="121"/>
        <v>项</v>
      </c>
      <c r="E440" s="1" t="str">
        <f t="shared" si="114"/>
        <v>检验费</v>
      </c>
    </row>
    <row r="441" spans="1:5">
      <c r="A441" s="1" t="str">
        <f>"血清胰高血糖测定（各种免疫学方法）"</f>
        <v>血清胰高血糖测定（各种免疫学方法）</v>
      </c>
      <c r="B441" s="1">
        <v>20</v>
      </c>
      <c r="C441" s="1" t="str">
        <f t="shared" si="120"/>
        <v>项</v>
      </c>
      <c r="D441" s="1" t="str">
        <f t="shared" si="121"/>
        <v>项</v>
      </c>
      <c r="E441" s="1" t="str">
        <f t="shared" si="114"/>
        <v>检验费</v>
      </c>
    </row>
    <row r="442" spans="1:5">
      <c r="A442" s="1" t="str">
        <f>"(CP)血清C肽测定"</f>
        <v>(CP)血清C肽测定</v>
      </c>
      <c r="B442" s="1">
        <v>60</v>
      </c>
      <c r="C442" s="1" t="str">
        <f t="shared" si="120"/>
        <v>项</v>
      </c>
      <c r="D442" s="1" t="str">
        <f t="shared" si="121"/>
        <v>项</v>
      </c>
      <c r="E442" s="1" t="str">
        <f t="shared" si="114"/>
        <v>检验费</v>
      </c>
    </row>
    <row r="443" spans="1:5">
      <c r="A443" s="1" t="str">
        <f>"血清抗谷氨酸脱羧酶抗体测定"</f>
        <v>血清抗谷氨酸脱羧酶抗体测定</v>
      </c>
      <c r="B443" s="1">
        <v>60</v>
      </c>
      <c r="C443" s="1" t="str">
        <f t="shared" si="120"/>
        <v>项</v>
      </c>
      <c r="D443" s="1" t="str">
        <f t="shared" si="121"/>
        <v>项</v>
      </c>
      <c r="E443" s="1" t="str">
        <f t="shared" si="114"/>
        <v>检验费</v>
      </c>
    </row>
    <row r="444" spans="1:5">
      <c r="A444" s="1" t="str">
        <f>"胃泌素测定"</f>
        <v>胃泌素测定</v>
      </c>
      <c r="B444" s="1">
        <v>40</v>
      </c>
      <c r="C444" s="1">
        <v>1</v>
      </c>
      <c r="D444" s="1" t="str">
        <f t="shared" si="121"/>
        <v>项</v>
      </c>
      <c r="E444" s="1" t="str">
        <f t="shared" si="114"/>
        <v>检验费</v>
      </c>
    </row>
    <row r="445" spans="1:5">
      <c r="A445" s="1" t="str">
        <f>"甲状腺球蛋白测定"</f>
        <v>甲状腺球蛋白测定</v>
      </c>
      <c r="B445" s="1">
        <v>55</v>
      </c>
      <c r="C445" s="1" t="str">
        <f t="shared" ref="C445:C450" si="122">"项"</f>
        <v>项</v>
      </c>
      <c r="D445" s="1" t="str">
        <f t="shared" si="121"/>
        <v>项</v>
      </c>
      <c r="E445" s="1" t="str">
        <f t="shared" si="114"/>
        <v>检验费</v>
      </c>
    </row>
    <row r="446" spans="1:5">
      <c r="A446" s="1" t="str">
        <f>"降钙素原检测"</f>
        <v>降钙素原检测</v>
      </c>
      <c r="B446" s="1">
        <v>70</v>
      </c>
      <c r="C446" s="1" t="str">
        <f t="shared" si="122"/>
        <v>项</v>
      </c>
      <c r="D446" s="1" t="str">
        <f t="shared" si="121"/>
        <v>项</v>
      </c>
      <c r="E446" s="1" t="str">
        <f t="shared" si="114"/>
        <v>检验费</v>
      </c>
    </row>
    <row r="447" spans="1:5">
      <c r="A447" s="1" t="str">
        <f>"类胰岛素生长因子-1测定(IGF-1)"</f>
        <v>类胰岛素生长因子-1测定(IGF-1)</v>
      </c>
      <c r="B447" s="1">
        <v>80</v>
      </c>
      <c r="C447" s="1" t="str">
        <f>"例"</f>
        <v>例</v>
      </c>
      <c r="D447" s="1" t="str">
        <f>"例"</f>
        <v>例</v>
      </c>
      <c r="E447" s="1" t="str">
        <f t="shared" si="114"/>
        <v>检验费</v>
      </c>
    </row>
    <row r="448" spans="1:5">
      <c r="A448" s="1" t="str">
        <f>"I型胶原羧基末端肽(CTx)测定"</f>
        <v>I型胶原羧基末端肽(CTx)测定</v>
      </c>
      <c r="B448" s="1">
        <v>85</v>
      </c>
      <c r="C448" s="1" t="str">
        <f t="shared" si="122"/>
        <v>项</v>
      </c>
      <c r="D448" s="1" t="str">
        <f t="shared" ref="D448:D454" si="123">"项"</f>
        <v>项</v>
      </c>
      <c r="E448" s="1" t="str">
        <f t="shared" si="114"/>
        <v>检验费</v>
      </c>
    </row>
    <row r="449" spans="1:5">
      <c r="A449" s="1" t="str">
        <f>"I型胶原氨基末端肽(NTx)测定"</f>
        <v>I型胶原氨基末端肽(NTx)测定</v>
      </c>
      <c r="B449" s="1">
        <v>130</v>
      </c>
      <c r="C449" s="1" t="str">
        <f t="shared" si="122"/>
        <v>项</v>
      </c>
      <c r="D449" s="1" t="str">
        <f t="shared" si="123"/>
        <v>项</v>
      </c>
      <c r="E449" s="1" t="str">
        <f t="shared" si="114"/>
        <v>检验费</v>
      </c>
    </row>
    <row r="450" spans="1:5">
      <c r="A450" s="1" t="str">
        <f>"单项补体测定"</f>
        <v>单项补体测定</v>
      </c>
      <c r="B450" s="1">
        <v>20</v>
      </c>
      <c r="C450" s="1" t="str">
        <f t="shared" si="122"/>
        <v>项</v>
      </c>
      <c r="D450" s="1" t="str">
        <f t="shared" si="123"/>
        <v>项</v>
      </c>
      <c r="E450" s="1" t="str">
        <f t="shared" si="114"/>
        <v>检验费</v>
      </c>
    </row>
    <row r="451" spans="1:5">
      <c r="A451" s="1" t="str">
        <f>"免疫球蛋白IgA定量测定（散射比浊法）"</f>
        <v>免疫球蛋白IgA定量测定（散射比浊法）</v>
      </c>
      <c r="B451" s="1">
        <v>20</v>
      </c>
      <c r="C451" s="1" t="str">
        <f t="shared" ref="C451:C453" si="124">"次"</f>
        <v>次</v>
      </c>
      <c r="D451" s="1" t="str">
        <f t="shared" si="123"/>
        <v>项</v>
      </c>
      <c r="E451" s="1" t="str">
        <f t="shared" si="114"/>
        <v>检验费</v>
      </c>
    </row>
    <row r="452" spans="1:5">
      <c r="A452" s="1" t="str">
        <f>"免疫球蛋白IgG定量测定（散射比浊法）"</f>
        <v>免疫球蛋白IgG定量测定（散射比浊法）</v>
      </c>
      <c r="B452" s="1">
        <v>20</v>
      </c>
      <c r="C452" s="1" t="str">
        <f t="shared" si="124"/>
        <v>次</v>
      </c>
      <c r="D452" s="1" t="str">
        <f t="shared" si="123"/>
        <v>项</v>
      </c>
      <c r="E452" s="1" t="str">
        <f t="shared" si="114"/>
        <v>检验费</v>
      </c>
    </row>
    <row r="453" spans="1:5">
      <c r="A453" s="1" t="str">
        <f>"免疫球蛋白IgM定量测定（散射比浊法）"</f>
        <v>免疫球蛋白IgM定量测定（散射比浊法）</v>
      </c>
      <c r="B453" s="1">
        <v>20</v>
      </c>
      <c r="C453" s="1" t="str">
        <f t="shared" si="124"/>
        <v>次</v>
      </c>
      <c r="D453" s="1" t="str">
        <f t="shared" si="123"/>
        <v>项</v>
      </c>
      <c r="E453" s="1" t="str">
        <f t="shared" si="114"/>
        <v>检验费</v>
      </c>
    </row>
    <row r="454" spans="1:5">
      <c r="A454" s="1" t="str">
        <f>"C-反应蛋白测定(CRP)（各种免疫学方法、单扩法）"</f>
        <v>C-反应蛋白测定(CRP)（各种免疫学方法、单扩法）</v>
      </c>
      <c r="B454" s="1">
        <v>5</v>
      </c>
      <c r="C454" s="1" t="str">
        <f t="shared" ref="C454:C459" si="125">"项"</f>
        <v>项</v>
      </c>
      <c r="D454" s="1" t="str">
        <f t="shared" si="123"/>
        <v>项</v>
      </c>
      <c r="E454" s="1" t="str">
        <f t="shared" si="114"/>
        <v>检验费</v>
      </c>
    </row>
    <row r="455" spans="1:5">
      <c r="A455" s="1" t="str">
        <f>"C-反应蛋白测定(CRP)（金标法）"</f>
        <v>C-反应蛋白测定(CRP)（金标法）</v>
      </c>
      <c r="B455" s="1">
        <v>20</v>
      </c>
      <c r="C455" s="1" t="str">
        <f>"例"</f>
        <v>例</v>
      </c>
      <c r="D455" s="1" t="str">
        <f>"例"</f>
        <v>例</v>
      </c>
      <c r="E455" s="1" t="str">
        <f t="shared" si="114"/>
        <v>检验费</v>
      </c>
    </row>
    <row r="456" spans="1:5">
      <c r="A456" s="1" t="str">
        <f>"血细胞簇分化抗原(CD)系列检测(流式细胞仪法)"</f>
        <v>血细胞簇分化抗原(CD)系列检测(流式细胞仪法)</v>
      </c>
      <c r="B456" s="1">
        <v>35</v>
      </c>
      <c r="C456" s="1" t="str">
        <f>"每个抗原"</f>
        <v>每个抗原</v>
      </c>
      <c r="D456" s="1" t="str">
        <f>"次"</f>
        <v>次</v>
      </c>
      <c r="E456" s="1" t="str">
        <f t="shared" si="114"/>
        <v>检验费</v>
      </c>
    </row>
    <row r="457" spans="1:5">
      <c r="A457" s="1" t="str">
        <f>"阿尔茨海默相关神经丝蛋白（AD7C-NTP）"</f>
        <v>阿尔茨海默相关神经丝蛋白（AD7C-NTP）</v>
      </c>
      <c r="B457" s="1">
        <v>350</v>
      </c>
      <c r="C457" s="1" t="str">
        <f t="shared" si="125"/>
        <v>项</v>
      </c>
      <c r="D457" s="1" t="str">
        <f t="shared" ref="D457:D463" si="126">"项"</f>
        <v>项</v>
      </c>
      <c r="E457" s="1" t="str">
        <f t="shared" si="114"/>
        <v>检验费</v>
      </c>
    </row>
    <row r="458" spans="1:5">
      <c r="A458" s="1" t="str">
        <f>"抗核抗体测定(ANA)（免疫学法）"</f>
        <v>抗核抗体测定(ANA)（免疫学法）</v>
      </c>
      <c r="B458" s="1">
        <v>30</v>
      </c>
      <c r="C458" s="1" t="str">
        <f>"次"</f>
        <v>次</v>
      </c>
      <c r="D458" s="1" t="str">
        <f>"次"</f>
        <v>次</v>
      </c>
      <c r="E458" s="1" t="str">
        <f t="shared" si="114"/>
        <v>检验费</v>
      </c>
    </row>
    <row r="459" spans="1:5">
      <c r="A459" s="1" t="str">
        <f>"抗核提取物抗体测定(抗ENA抗体)"</f>
        <v>抗核提取物抗体测定(抗ENA抗体)</v>
      </c>
      <c r="B459" s="1">
        <v>20</v>
      </c>
      <c r="C459" s="1" t="str">
        <f t="shared" si="125"/>
        <v>项</v>
      </c>
      <c r="D459" s="1" t="str">
        <f t="shared" si="126"/>
        <v>项</v>
      </c>
      <c r="E459" s="1" t="str">
        <f t="shared" si="114"/>
        <v>检验费</v>
      </c>
    </row>
    <row r="460" spans="1:5">
      <c r="A460" s="1" t="str">
        <f>"抗核提取物抗体测定（抗JO-1)"</f>
        <v>抗核提取物抗体测定（抗JO-1)</v>
      </c>
      <c r="B460" s="1">
        <v>20</v>
      </c>
      <c r="C460" s="1">
        <v>1</v>
      </c>
      <c r="D460" s="1" t="str">
        <f t="shared" si="126"/>
        <v>项</v>
      </c>
      <c r="E460" s="1" t="str">
        <f t="shared" si="114"/>
        <v>检验费</v>
      </c>
    </row>
    <row r="461" spans="1:5">
      <c r="A461" s="1" t="str">
        <f>"抗核提取物抗体测定（抗nRNP)"</f>
        <v>抗核提取物抗体测定（抗nRNP)</v>
      </c>
      <c r="B461" s="1">
        <v>20</v>
      </c>
      <c r="C461" s="1">
        <v>1</v>
      </c>
      <c r="D461" s="1" t="str">
        <f t="shared" si="126"/>
        <v>项</v>
      </c>
      <c r="E461" s="1" t="str">
        <f t="shared" si="114"/>
        <v>检验费</v>
      </c>
    </row>
    <row r="462" spans="1:5">
      <c r="A462" s="1" t="str">
        <f>"抗核提取物抗体测定(抗Sc-L-70)"</f>
        <v>抗核提取物抗体测定(抗Sc-L-70)</v>
      </c>
      <c r="B462" s="1">
        <v>20</v>
      </c>
      <c r="C462" s="1">
        <v>1</v>
      </c>
      <c r="D462" s="1" t="str">
        <f t="shared" si="126"/>
        <v>项</v>
      </c>
      <c r="E462" s="1" t="str">
        <f t="shared" si="114"/>
        <v>检验费</v>
      </c>
    </row>
    <row r="463" spans="1:5">
      <c r="A463" s="1" t="str">
        <f>"抗核提取物抗体测定(抗SM)"</f>
        <v>抗核提取物抗体测定(抗SM)</v>
      </c>
      <c r="B463" s="1">
        <v>20</v>
      </c>
      <c r="C463" s="1">
        <v>1</v>
      </c>
      <c r="D463" s="1" t="str">
        <f t="shared" si="126"/>
        <v>项</v>
      </c>
      <c r="E463" s="1" t="str">
        <f t="shared" si="114"/>
        <v>检验费</v>
      </c>
    </row>
    <row r="464" spans="1:5">
      <c r="A464" s="1" t="str">
        <f>"抗核提取物抗体测定(抗SSA抗体)"</f>
        <v>抗核提取物抗体测定(抗SSA抗体)</v>
      </c>
      <c r="B464" s="1">
        <v>20</v>
      </c>
      <c r="C464" s="1" t="str">
        <f>"次"</f>
        <v>次</v>
      </c>
      <c r="D464" s="1" t="str">
        <f>"次"</f>
        <v>次</v>
      </c>
      <c r="E464" s="1" t="str">
        <f t="shared" si="114"/>
        <v>检验费</v>
      </c>
    </row>
    <row r="465" spans="1:5">
      <c r="A465" s="1" t="str">
        <f>"抗核提取物抗体测定（抗SSB)"</f>
        <v>抗核提取物抗体测定（抗SSB)</v>
      </c>
      <c r="B465" s="1">
        <v>20</v>
      </c>
      <c r="C465" s="1" t="str">
        <f t="shared" ref="C465:C475" si="127">"项"</f>
        <v>项</v>
      </c>
      <c r="D465" s="1" t="str">
        <f t="shared" ref="D465:D479" si="128">"项"</f>
        <v>项</v>
      </c>
      <c r="E465" s="1" t="str">
        <f t="shared" ref="E465:E528" si="129">"检验费"</f>
        <v>检验费</v>
      </c>
    </row>
    <row r="466" spans="1:5">
      <c r="A466" s="1" t="str">
        <f>"抗核提取物抗体测定(抗Anti-UIRNP)(免疫学法)"</f>
        <v>抗核提取物抗体测定(抗Anti-UIRNP)(免疫学法)</v>
      </c>
      <c r="B466" s="1">
        <v>20</v>
      </c>
      <c r="C466" s="1" t="str">
        <f t="shared" si="127"/>
        <v>项</v>
      </c>
      <c r="D466" s="1" t="str">
        <f t="shared" si="128"/>
        <v>项</v>
      </c>
      <c r="E466" s="1" t="str">
        <f t="shared" si="129"/>
        <v>检验费</v>
      </c>
    </row>
    <row r="467" spans="1:5">
      <c r="A467" s="1" t="str">
        <f>"抗双链DNA测定(抗dsDNA)（ELISA法）"</f>
        <v>抗双链DNA测定(抗dsDNA)（ELISA法）</v>
      </c>
      <c r="B467" s="1">
        <v>70</v>
      </c>
      <c r="C467" s="1">
        <v>1</v>
      </c>
      <c r="D467" s="1" t="str">
        <f t="shared" si="128"/>
        <v>项</v>
      </c>
      <c r="E467" s="1" t="str">
        <f t="shared" si="129"/>
        <v>检验费</v>
      </c>
    </row>
    <row r="468" spans="1:5">
      <c r="A468" s="1" t="str">
        <f>"抗核糖核蛋白抗体测定免疫学法"</f>
        <v>抗核糖核蛋白抗体测定免疫学法</v>
      </c>
      <c r="B468" s="1">
        <v>8</v>
      </c>
      <c r="C468" s="1" t="str">
        <f t="shared" si="127"/>
        <v>项</v>
      </c>
      <c r="D468" s="1" t="str">
        <f t="shared" si="128"/>
        <v>项</v>
      </c>
      <c r="E468" s="1" t="str">
        <f t="shared" si="129"/>
        <v>检验费</v>
      </c>
    </row>
    <row r="469" spans="1:5">
      <c r="A469" s="1" t="str">
        <f>"抗核糖核蛋白抗体测定（免疫印迹法）"</f>
        <v>抗核糖核蛋白抗体测定（免疫印迹法）</v>
      </c>
      <c r="B469" s="1">
        <v>20</v>
      </c>
      <c r="C469" s="1" t="str">
        <f t="shared" si="127"/>
        <v>项</v>
      </c>
      <c r="D469" s="1" t="str">
        <f t="shared" si="128"/>
        <v>项</v>
      </c>
      <c r="E469" s="1" t="str">
        <f t="shared" si="129"/>
        <v>检验费</v>
      </c>
    </row>
    <row r="470" spans="1:5">
      <c r="A470" s="1" t="str">
        <f>"抗组织细胞抗体测定"</f>
        <v>抗组织细胞抗体测定</v>
      </c>
      <c r="B470" s="1">
        <v>40</v>
      </c>
      <c r="C470" s="1" t="str">
        <f t="shared" si="127"/>
        <v>项</v>
      </c>
      <c r="D470" s="1" t="str">
        <f t="shared" si="128"/>
        <v>项</v>
      </c>
      <c r="E470" s="1" t="str">
        <f t="shared" si="129"/>
        <v>检验费</v>
      </c>
    </row>
    <row r="471" spans="1:5">
      <c r="A471" s="1" t="str">
        <f>"抗心磷脂抗体测定(ACA)ELISA法"</f>
        <v>抗心磷脂抗体测定(ACA)ELISA法</v>
      </c>
      <c r="B471" s="1">
        <v>70</v>
      </c>
      <c r="C471" s="1" t="str">
        <f t="shared" si="127"/>
        <v>项</v>
      </c>
      <c r="D471" s="1" t="str">
        <f t="shared" si="128"/>
        <v>项</v>
      </c>
      <c r="E471" s="1" t="str">
        <f t="shared" si="129"/>
        <v>检验费</v>
      </c>
    </row>
    <row r="472" spans="1:5">
      <c r="A472" s="1" t="str">
        <f>"抗甲状腺球蛋白抗体测定(TGAb)"</f>
        <v>抗甲状腺球蛋白抗体测定(TGAb)</v>
      </c>
      <c r="B472" s="1">
        <v>35</v>
      </c>
      <c r="C472" s="1" t="str">
        <f t="shared" si="127"/>
        <v>项</v>
      </c>
      <c r="D472" s="1" t="str">
        <f t="shared" si="128"/>
        <v>项</v>
      </c>
      <c r="E472" s="1" t="str">
        <f t="shared" si="129"/>
        <v>检验费</v>
      </c>
    </row>
    <row r="473" spans="1:5">
      <c r="A473" s="1" t="str">
        <f>"抗甲状腺微粒体抗体测定(TMAb)各种免疫学方法"</f>
        <v>抗甲状腺微粒体抗体测定(TMAb)各种免疫学方法</v>
      </c>
      <c r="B473" s="1">
        <v>10</v>
      </c>
      <c r="C473" s="1" t="str">
        <f t="shared" si="127"/>
        <v>项</v>
      </c>
      <c r="D473" s="1" t="str">
        <f t="shared" si="128"/>
        <v>项</v>
      </c>
      <c r="E473" s="1" t="str">
        <f t="shared" si="129"/>
        <v>检验费</v>
      </c>
    </row>
    <row r="474" spans="1:5">
      <c r="A474" s="1" t="str">
        <f>"抗甲状腺微粒体抗体测定(TMAb)"</f>
        <v>抗甲状腺微粒体抗体测定(TMAb)</v>
      </c>
      <c r="B474" s="1">
        <v>35</v>
      </c>
      <c r="C474" s="1" t="str">
        <f t="shared" si="127"/>
        <v>项</v>
      </c>
      <c r="D474" s="1" t="str">
        <f t="shared" si="128"/>
        <v>项</v>
      </c>
      <c r="E474" s="1" t="str">
        <f t="shared" si="129"/>
        <v>检验费</v>
      </c>
    </row>
    <row r="475" spans="1:5">
      <c r="A475" s="1" t="str">
        <f>"抗卵巢抗体测定"</f>
        <v>抗卵巢抗体测定</v>
      </c>
      <c r="B475" s="1">
        <v>15</v>
      </c>
      <c r="C475" s="1" t="str">
        <f t="shared" si="127"/>
        <v>项</v>
      </c>
      <c r="D475" s="1" t="str">
        <f t="shared" si="128"/>
        <v>项</v>
      </c>
      <c r="E475" s="1" t="str">
        <f t="shared" si="129"/>
        <v>检验费</v>
      </c>
    </row>
    <row r="476" spans="1:5">
      <c r="A476" s="1" t="str">
        <f>"抗子宫内膜抗体测定(EMAb)"</f>
        <v>抗子宫内膜抗体测定(EMAb)</v>
      </c>
      <c r="B476" s="1">
        <v>15</v>
      </c>
      <c r="C476" s="1" t="str">
        <f>"-"</f>
        <v>-</v>
      </c>
      <c r="D476" s="1" t="str">
        <f t="shared" si="128"/>
        <v>项</v>
      </c>
      <c r="E476" s="1" t="str">
        <f t="shared" si="129"/>
        <v>检验费</v>
      </c>
    </row>
    <row r="477" spans="1:5">
      <c r="A477" s="1" t="str">
        <f>"抗胰岛素抗体测定凝集法"</f>
        <v>抗胰岛素抗体测定凝集法</v>
      </c>
      <c r="B477" s="1">
        <v>15</v>
      </c>
      <c r="C477" s="1" t="str">
        <f t="shared" ref="C477:C479" si="130">"项"</f>
        <v>项</v>
      </c>
      <c r="D477" s="1" t="str">
        <f t="shared" si="128"/>
        <v>项</v>
      </c>
      <c r="E477" s="1" t="str">
        <f t="shared" si="129"/>
        <v>检验费</v>
      </c>
    </row>
    <row r="478" spans="1:5">
      <c r="A478" s="1" t="str">
        <f>"抗胰岛素抗体测定ELISA法"</f>
        <v>抗胰岛素抗体测定ELISA法</v>
      </c>
      <c r="B478" s="1">
        <v>45</v>
      </c>
      <c r="C478" s="1" t="str">
        <f t="shared" si="130"/>
        <v>项</v>
      </c>
      <c r="D478" s="1" t="str">
        <f t="shared" si="128"/>
        <v>项</v>
      </c>
      <c r="E478" s="1" t="str">
        <f t="shared" si="129"/>
        <v>检验费</v>
      </c>
    </row>
    <row r="479" spans="1:5">
      <c r="A479" s="1" t="str">
        <f>"抗载脂蛋白抗体测定"</f>
        <v>抗载脂蛋白抗体测定</v>
      </c>
      <c r="B479" s="1">
        <v>15</v>
      </c>
      <c r="C479" s="1" t="str">
        <f t="shared" si="130"/>
        <v>项</v>
      </c>
      <c r="D479" s="1" t="str">
        <f t="shared" si="128"/>
        <v>项</v>
      </c>
      <c r="E479" s="1" t="str">
        <f t="shared" si="129"/>
        <v>检验费</v>
      </c>
    </row>
    <row r="480" spans="1:5">
      <c r="A480" s="1" t="str">
        <f>"类风湿因子(RF)测定（散射比浊法）"</f>
        <v>类风湿因子(RF)测定（散射比浊法）</v>
      </c>
      <c r="B480" s="1">
        <v>30</v>
      </c>
      <c r="C480" s="1" t="str">
        <f>"-"</f>
        <v>-</v>
      </c>
      <c r="D480" s="1" t="str">
        <f>"次"</f>
        <v>次</v>
      </c>
      <c r="E480" s="1" t="str">
        <f t="shared" si="129"/>
        <v>检验费</v>
      </c>
    </row>
    <row r="481" spans="1:5">
      <c r="A481" s="1" t="str">
        <f>"抗甲状腺过氧化物酶抗体"</f>
        <v>抗甲状腺过氧化物酶抗体</v>
      </c>
      <c r="B481" s="1">
        <v>70</v>
      </c>
      <c r="C481" s="1">
        <v>1</v>
      </c>
      <c r="D481" s="1" t="str">
        <f t="shared" ref="D481:D498" si="131">"项"</f>
        <v>项</v>
      </c>
      <c r="E481" s="1" t="str">
        <f t="shared" si="129"/>
        <v>检验费</v>
      </c>
    </row>
    <row r="482" spans="1:5">
      <c r="A482" s="1" t="str">
        <f>"甲型肝炎抗体测定(Anti-HAV)"</f>
        <v>甲型肝炎抗体测定(Anti-HAV)</v>
      </c>
      <c r="B482" s="1">
        <v>4</v>
      </c>
      <c r="C482" s="1" t="str">
        <f t="shared" ref="C482:C498" si="132">"项"</f>
        <v>项</v>
      </c>
      <c r="D482" s="1" t="str">
        <f t="shared" si="131"/>
        <v>项</v>
      </c>
      <c r="E482" s="1" t="str">
        <f t="shared" si="129"/>
        <v>检验费</v>
      </c>
    </row>
    <row r="483" spans="1:5">
      <c r="A483" s="1" t="str">
        <f>"甲型肝炎IgM抗体测定(Anti-HAV IgM)（酶免法、放免法)"</f>
        <v>甲型肝炎IgM抗体测定(Anti-HAV IgM)（酶免法、放免法)</v>
      </c>
      <c r="B483" s="1">
        <v>10</v>
      </c>
      <c r="C483" s="1" t="str">
        <f t="shared" si="132"/>
        <v>项</v>
      </c>
      <c r="D483" s="1" t="str">
        <f t="shared" si="131"/>
        <v>项</v>
      </c>
      <c r="E483" s="1" t="str">
        <f t="shared" si="129"/>
        <v>检验费</v>
      </c>
    </row>
    <row r="484" spans="1:5">
      <c r="A484" s="1" t="str">
        <f>"甲型肝炎抗体测定(Anti-HAV)"</f>
        <v>甲型肝炎抗体测定(Anti-HAV)</v>
      </c>
      <c r="B484" s="1">
        <v>30</v>
      </c>
      <c r="C484" s="1" t="str">
        <f t="shared" si="132"/>
        <v>项</v>
      </c>
      <c r="D484" s="1" t="str">
        <f t="shared" si="131"/>
        <v>项</v>
      </c>
      <c r="E484" s="1" t="str">
        <f t="shared" si="129"/>
        <v>检验费</v>
      </c>
    </row>
    <row r="485" spans="1:5">
      <c r="A485" s="1" t="str">
        <f>"乙型肝炎表面抗原测定(HBsAg)ELISA法"</f>
        <v>乙型肝炎表面抗原测定(HBsAg)ELISA法</v>
      </c>
      <c r="B485" s="1">
        <v>8</v>
      </c>
      <c r="C485" s="1" t="str">
        <f t="shared" si="132"/>
        <v>项</v>
      </c>
      <c r="D485" s="1" t="str">
        <f t="shared" si="131"/>
        <v>项</v>
      </c>
      <c r="E485" s="1" t="str">
        <f t="shared" si="129"/>
        <v>检验费</v>
      </c>
    </row>
    <row r="486" spans="1:5">
      <c r="A486" s="1" t="str">
        <f>"乙型肝炎表面抗原测定(HBsAg)（化学发光法、免疫荧光法）"</f>
        <v>乙型肝炎表面抗原测定(HBsAg)（化学发光法、免疫荧光法）</v>
      </c>
      <c r="B486" s="1">
        <v>25</v>
      </c>
      <c r="C486" s="1" t="str">
        <f t="shared" si="132"/>
        <v>项</v>
      </c>
      <c r="D486" s="1" t="str">
        <f t="shared" si="131"/>
        <v>项</v>
      </c>
      <c r="E486" s="1" t="str">
        <f t="shared" si="129"/>
        <v>检验费</v>
      </c>
    </row>
    <row r="487" spans="1:5">
      <c r="A487" s="1" t="str">
        <f>"乙型肝炎表面抗体测定(Anti-HBs)ELISA法"</f>
        <v>乙型肝炎表面抗体测定(Anti-HBs)ELISA法</v>
      </c>
      <c r="B487" s="1">
        <v>8</v>
      </c>
      <c r="C487" s="1" t="str">
        <f t="shared" si="132"/>
        <v>项</v>
      </c>
      <c r="D487" s="1" t="str">
        <f t="shared" si="131"/>
        <v>项</v>
      </c>
      <c r="E487" s="1" t="str">
        <f t="shared" si="129"/>
        <v>检验费</v>
      </c>
    </row>
    <row r="488" spans="1:5">
      <c r="A488" s="1" t="str">
        <f>"乙型肝炎表面抗体测定(Anti-HBs)化学发光法、免疫荧光法"</f>
        <v>乙型肝炎表面抗体测定(Anti-HBs)化学发光法、免疫荧光法</v>
      </c>
      <c r="B488" s="1">
        <v>25</v>
      </c>
      <c r="C488" s="1" t="str">
        <f t="shared" si="132"/>
        <v>项</v>
      </c>
      <c r="D488" s="1" t="str">
        <f t="shared" si="131"/>
        <v>项</v>
      </c>
      <c r="E488" s="1" t="str">
        <f t="shared" si="129"/>
        <v>检验费</v>
      </c>
    </row>
    <row r="489" spans="1:5">
      <c r="A489" s="1" t="str">
        <f>"乙型肝炎e抗原测定(HBeAg)（免疫学法）"</f>
        <v>乙型肝炎e抗原测定(HBeAg)（免疫学法）</v>
      </c>
      <c r="B489" s="1">
        <v>4</v>
      </c>
      <c r="C489" s="1" t="str">
        <f t="shared" si="132"/>
        <v>项</v>
      </c>
      <c r="D489" s="1" t="str">
        <f t="shared" si="131"/>
        <v>项</v>
      </c>
      <c r="E489" s="1" t="str">
        <f t="shared" si="129"/>
        <v>检验费</v>
      </c>
    </row>
    <row r="490" spans="1:5">
      <c r="A490" s="1" t="str">
        <f>"乙型肝炎e抗原测定(HBeAg)（化学发光法、免疫荧光法）"</f>
        <v>乙型肝炎e抗原测定(HBeAg)（化学发光法、免疫荧光法）</v>
      </c>
      <c r="B490" s="1">
        <v>25</v>
      </c>
      <c r="C490" s="1" t="str">
        <f t="shared" si="132"/>
        <v>项</v>
      </c>
      <c r="D490" s="1" t="str">
        <f t="shared" si="131"/>
        <v>项</v>
      </c>
      <c r="E490" s="1" t="str">
        <f t="shared" si="129"/>
        <v>检验费</v>
      </c>
    </row>
    <row r="491" spans="1:5">
      <c r="A491" s="1" t="str">
        <f>"乙型肝炎e抗体测定(Anti-HBe)免疫学法"</f>
        <v>乙型肝炎e抗体测定(Anti-HBe)免疫学法</v>
      </c>
      <c r="B491" s="1">
        <v>4</v>
      </c>
      <c r="C491" s="1" t="str">
        <f t="shared" si="132"/>
        <v>项</v>
      </c>
      <c r="D491" s="1" t="str">
        <f t="shared" si="131"/>
        <v>项</v>
      </c>
      <c r="E491" s="1" t="str">
        <f t="shared" si="129"/>
        <v>检验费</v>
      </c>
    </row>
    <row r="492" spans="1:5">
      <c r="A492" s="1" t="str">
        <f>"乙型肝炎e抗体测定(Anti-HBe)化学发光法、免疫荧光法"</f>
        <v>乙型肝炎e抗体测定(Anti-HBe)化学发光法、免疫荧光法</v>
      </c>
      <c r="B492" s="1">
        <v>20</v>
      </c>
      <c r="C492" s="1" t="str">
        <f t="shared" si="132"/>
        <v>项</v>
      </c>
      <c r="D492" s="1" t="str">
        <f t="shared" si="131"/>
        <v>项</v>
      </c>
      <c r="E492" s="1" t="str">
        <f t="shared" si="129"/>
        <v>检验费</v>
      </c>
    </row>
    <row r="493" spans="1:5">
      <c r="A493" s="1" t="str">
        <f>"乙型肝炎核心抗体测定(Anti-HBc)（ELISA法）"</f>
        <v>乙型肝炎核心抗体测定(Anti-HBc)（ELISA法）</v>
      </c>
      <c r="B493" s="1">
        <v>8</v>
      </c>
      <c r="C493" s="1" t="str">
        <f t="shared" si="132"/>
        <v>项</v>
      </c>
      <c r="D493" s="1" t="str">
        <f t="shared" si="131"/>
        <v>项</v>
      </c>
      <c r="E493" s="1" t="str">
        <f t="shared" si="129"/>
        <v>检验费</v>
      </c>
    </row>
    <row r="494" spans="1:5">
      <c r="A494" s="1" t="str">
        <f>"乙型肝炎核心抗体测定(Anti-HBc)化学发光法、免疫荧光法"</f>
        <v>乙型肝炎核心抗体测定(Anti-HBc)化学发光法、免疫荧光法</v>
      </c>
      <c r="B494" s="1">
        <v>20</v>
      </c>
      <c r="C494" s="1" t="str">
        <f t="shared" si="132"/>
        <v>项</v>
      </c>
      <c r="D494" s="1" t="str">
        <f t="shared" si="131"/>
        <v>项</v>
      </c>
      <c r="E494" s="1" t="str">
        <f t="shared" si="129"/>
        <v>检验费</v>
      </c>
    </row>
    <row r="495" spans="1:5">
      <c r="A495" s="1" t="str">
        <f>"乙型肝炎表面前S抗原测定（ELISA法）"</f>
        <v>乙型肝炎表面前S抗原测定（ELISA法）</v>
      </c>
      <c r="B495" s="1">
        <v>25</v>
      </c>
      <c r="C495" s="1" t="str">
        <f t="shared" si="132"/>
        <v>项</v>
      </c>
      <c r="D495" s="1" t="str">
        <f t="shared" si="131"/>
        <v>项</v>
      </c>
      <c r="E495" s="1" t="str">
        <f t="shared" si="129"/>
        <v>检验费</v>
      </c>
    </row>
    <row r="496" spans="1:5">
      <c r="A496" s="1" t="str">
        <f>"丙型肝炎抗体测定(Anti-HCV)"</f>
        <v>丙型肝炎抗体测定(Anti-HCV)</v>
      </c>
      <c r="B496" s="1">
        <v>25</v>
      </c>
      <c r="C496" s="1" t="str">
        <f t="shared" si="132"/>
        <v>项</v>
      </c>
      <c r="D496" s="1" t="str">
        <f t="shared" si="131"/>
        <v>项</v>
      </c>
      <c r="E496" s="1" t="str">
        <f t="shared" si="129"/>
        <v>检验费</v>
      </c>
    </row>
    <row r="497" spans="1:5">
      <c r="A497" s="1" t="str">
        <f>"丙型肝炎抗体测定（金标法）"</f>
        <v>丙型肝炎抗体测定（金标法）</v>
      </c>
      <c r="B497" s="1" t="str">
        <f>"0"</f>
        <v>0</v>
      </c>
      <c r="C497" s="1" t="str">
        <f t="shared" si="132"/>
        <v>项</v>
      </c>
      <c r="D497" s="1" t="str">
        <f t="shared" si="131"/>
        <v>项</v>
      </c>
      <c r="E497" s="1" t="str">
        <f t="shared" si="129"/>
        <v>检验费</v>
      </c>
    </row>
    <row r="498" spans="1:5">
      <c r="A498" s="1" t="str">
        <f>"戊型肝炎抗体测定"</f>
        <v>戊型肝炎抗体测定</v>
      </c>
      <c r="B498" s="1">
        <v>30</v>
      </c>
      <c r="C498" s="1" t="str">
        <f t="shared" si="132"/>
        <v>项</v>
      </c>
      <c r="D498" s="1" t="str">
        <f t="shared" si="131"/>
        <v>项</v>
      </c>
      <c r="E498" s="1" t="str">
        <f t="shared" si="129"/>
        <v>检验费</v>
      </c>
    </row>
    <row r="499" spans="1:5">
      <c r="A499" s="1" t="str">
        <f>"戊型肝炎IgM抗体测定"</f>
        <v>戊型肝炎IgM抗体测定</v>
      </c>
      <c r="B499" s="1">
        <v>30</v>
      </c>
      <c r="C499" s="1">
        <v>1</v>
      </c>
      <c r="D499" s="1" t="str">
        <f>"次"</f>
        <v>次</v>
      </c>
      <c r="E499" s="1" t="str">
        <f t="shared" si="129"/>
        <v>检验费</v>
      </c>
    </row>
    <row r="500" spans="1:5">
      <c r="A500" s="1" t="str">
        <f>"戊型肝炎IgG抗体测定"</f>
        <v>戊型肝炎IgG抗体测定</v>
      </c>
      <c r="B500" s="1">
        <v>30</v>
      </c>
      <c r="C500" s="1">
        <v>1</v>
      </c>
      <c r="D500" s="1" t="str">
        <f>"次"</f>
        <v>次</v>
      </c>
      <c r="E500" s="1" t="str">
        <f t="shared" si="129"/>
        <v>检验费</v>
      </c>
    </row>
    <row r="501" spans="1:5">
      <c r="A501" s="1" t="str">
        <f>"人免疫缺陷病毒抗体测定(Anti-HIV)"</f>
        <v>人免疫缺陷病毒抗体测定(Anti-HIV)</v>
      </c>
      <c r="B501" s="1">
        <v>10</v>
      </c>
      <c r="C501" s="1" t="str">
        <f t="shared" ref="C501:C504" si="133">"项"</f>
        <v>项</v>
      </c>
      <c r="D501" s="1" t="str">
        <f t="shared" ref="D501:D505" si="134">"项"</f>
        <v>项</v>
      </c>
      <c r="E501" s="1" t="str">
        <f t="shared" si="129"/>
        <v>检验费</v>
      </c>
    </row>
    <row r="502" spans="1:5">
      <c r="A502" s="1" t="str">
        <f>"人免疫缺陷病毒抗体测定(Anti-HIV)"</f>
        <v>人免疫缺陷病毒抗体测定(Anti-HIV)</v>
      </c>
      <c r="B502" s="1">
        <v>35</v>
      </c>
      <c r="C502" s="1" t="str">
        <f t="shared" si="133"/>
        <v>项</v>
      </c>
      <c r="D502" s="1" t="str">
        <f t="shared" si="134"/>
        <v>项</v>
      </c>
      <c r="E502" s="1" t="str">
        <f t="shared" si="129"/>
        <v>检验费</v>
      </c>
    </row>
    <row r="503" spans="1:5">
      <c r="A503" s="1" t="str">
        <f>"艾滋病抗体测定"</f>
        <v>艾滋病抗体测定</v>
      </c>
      <c r="B503" s="1">
        <v>35</v>
      </c>
      <c r="C503" s="1" t="str">
        <f t="shared" si="133"/>
        <v>项</v>
      </c>
      <c r="D503" s="1" t="str">
        <f t="shared" si="134"/>
        <v>项</v>
      </c>
      <c r="E503" s="1" t="str">
        <f t="shared" si="129"/>
        <v>检验费</v>
      </c>
    </row>
    <row r="504" spans="1:5">
      <c r="A504" s="1" t="str">
        <f>"弓形体抗体测定IgG（各种免疫学方法）"</f>
        <v>弓形体抗体测定IgG（各种免疫学方法）</v>
      </c>
      <c r="B504" s="1">
        <v>25</v>
      </c>
      <c r="C504" s="1" t="str">
        <f t="shared" si="133"/>
        <v>项</v>
      </c>
      <c r="D504" s="1" t="str">
        <f t="shared" si="134"/>
        <v>项</v>
      </c>
      <c r="E504" s="1" t="str">
        <f t="shared" si="129"/>
        <v>检验费</v>
      </c>
    </row>
    <row r="505" spans="1:5">
      <c r="A505" s="1" t="str">
        <f>"弓形体抗体测定IgM（各种免疫学方法）"</f>
        <v>弓形体抗体测定IgM（各种免疫学方法）</v>
      </c>
      <c r="B505" s="1">
        <v>25</v>
      </c>
      <c r="C505" s="1" t="str">
        <f>"-"</f>
        <v>-</v>
      </c>
      <c r="D505" s="1" t="str">
        <f t="shared" si="134"/>
        <v>项</v>
      </c>
      <c r="E505" s="1" t="str">
        <f t="shared" si="129"/>
        <v>检验费</v>
      </c>
    </row>
    <row r="506" spans="1:5">
      <c r="A506" s="1" t="str">
        <f>"风疹病毒抗体测定"</f>
        <v>风疹病毒抗体测定</v>
      </c>
      <c r="B506" s="1">
        <v>20</v>
      </c>
      <c r="C506" s="1">
        <v>1</v>
      </c>
      <c r="D506" s="1" t="str">
        <f t="shared" ref="D506:D510" si="135">"次"</f>
        <v>次</v>
      </c>
      <c r="E506" s="1" t="str">
        <f t="shared" si="129"/>
        <v>检验费</v>
      </c>
    </row>
    <row r="507" spans="1:5">
      <c r="A507" s="1" t="str">
        <f>"风疹病毒抗体测定IgG（各种免疫学方法）"</f>
        <v>风疹病毒抗体测定IgG（各种免疫学方法）</v>
      </c>
      <c r="B507" s="1">
        <v>20</v>
      </c>
      <c r="C507" s="1" t="str">
        <f>"次"</f>
        <v>次</v>
      </c>
      <c r="D507" s="1" t="str">
        <f t="shared" si="135"/>
        <v>次</v>
      </c>
      <c r="E507" s="1" t="str">
        <f t="shared" si="129"/>
        <v>检验费</v>
      </c>
    </row>
    <row r="508" spans="1:5">
      <c r="A508" s="1" t="str">
        <f>"风疹病毒抗体测定IgM（各种免疫学方法）"</f>
        <v>风疹病毒抗体测定IgM（各种免疫学方法）</v>
      </c>
      <c r="B508" s="1">
        <v>20</v>
      </c>
      <c r="C508" s="1" t="str">
        <f t="shared" ref="C508:C511" si="136">"项"</f>
        <v>项</v>
      </c>
      <c r="D508" s="1" t="str">
        <f t="shared" ref="D508:D532" si="137">"项"</f>
        <v>项</v>
      </c>
      <c r="E508" s="1" t="str">
        <f t="shared" si="129"/>
        <v>检验费</v>
      </c>
    </row>
    <row r="509" spans="1:5">
      <c r="A509" s="1" t="str">
        <f>"巨细胞病毒抗体测定"</f>
        <v>巨细胞病毒抗体测定</v>
      </c>
      <c r="B509" s="1">
        <v>25</v>
      </c>
      <c r="C509" s="1" t="str">
        <f t="shared" si="136"/>
        <v>项</v>
      </c>
      <c r="D509" s="1" t="str">
        <f t="shared" si="137"/>
        <v>项</v>
      </c>
      <c r="E509" s="1" t="str">
        <f t="shared" si="129"/>
        <v>检验费</v>
      </c>
    </row>
    <row r="510" spans="1:5">
      <c r="A510" s="1" t="str">
        <f>"巨细胞病毒抗体测定IgG"</f>
        <v>巨细胞病毒抗体测定IgG</v>
      </c>
      <c r="B510" s="1">
        <v>25</v>
      </c>
      <c r="C510" s="1" t="str">
        <f>"次"</f>
        <v>次</v>
      </c>
      <c r="D510" s="1" t="str">
        <f t="shared" si="135"/>
        <v>次</v>
      </c>
      <c r="E510" s="1" t="str">
        <f t="shared" si="129"/>
        <v>检验费</v>
      </c>
    </row>
    <row r="511" spans="1:5">
      <c r="A511" s="1" t="str">
        <f>"巨细胞病毒抗体测定IgM"</f>
        <v>巨细胞病毒抗体测定IgM</v>
      </c>
      <c r="B511" s="1">
        <v>25</v>
      </c>
      <c r="C511" s="1" t="str">
        <f t="shared" si="136"/>
        <v>项</v>
      </c>
      <c r="D511" s="1" t="str">
        <f t="shared" si="137"/>
        <v>项</v>
      </c>
      <c r="E511" s="1" t="str">
        <f t="shared" si="129"/>
        <v>检验费</v>
      </c>
    </row>
    <row r="512" spans="1:5">
      <c r="A512" s="1" t="str">
        <f>"单纯疱疹病毒Ⅱ型抗体测定（各种免疫学方法）"</f>
        <v>单纯疱疹病毒Ⅱ型抗体测定（各种免疫学方法）</v>
      </c>
      <c r="B512" s="1">
        <v>25</v>
      </c>
      <c r="C512" s="1" t="str">
        <f>"-"</f>
        <v>-</v>
      </c>
      <c r="D512" s="1" t="str">
        <f t="shared" si="137"/>
        <v>项</v>
      </c>
      <c r="E512" s="1" t="str">
        <f t="shared" si="129"/>
        <v>检验费</v>
      </c>
    </row>
    <row r="513" spans="1:5">
      <c r="A513" s="1" t="str">
        <f>"单纯疱疹病毒抗体测定免疫印迹法"</f>
        <v>单纯疱疹病毒抗体测定免疫印迹法</v>
      </c>
      <c r="B513" s="1">
        <v>45</v>
      </c>
      <c r="C513" s="1" t="str">
        <f t="shared" ref="C513:C524" si="138">"项"</f>
        <v>项</v>
      </c>
      <c r="D513" s="1" t="str">
        <f t="shared" si="137"/>
        <v>项</v>
      </c>
      <c r="E513" s="1" t="str">
        <f t="shared" si="129"/>
        <v>检验费</v>
      </c>
    </row>
    <row r="514" spans="1:5">
      <c r="A514" s="1" t="str">
        <f>"单纯疱疹病毒抗体测定"</f>
        <v>单纯疱疹病毒抗体测定</v>
      </c>
      <c r="B514" s="1">
        <v>25</v>
      </c>
      <c r="C514" s="1" t="str">
        <f t="shared" si="138"/>
        <v>项</v>
      </c>
      <c r="D514" s="1" t="str">
        <f t="shared" si="137"/>
        <v>项</v>
      </c>
      <c r="E514" s="1" t="str">
        <f t="shared" si="129"/>
        <v>检验费</v>
      </c>
    </row>
    <row r="515" spans="1:5">
      <c r="A515" s="1" t="str">
        <f>"EB病毒抗体测定"</f>
        <v>EB病毒抗体测定</v>
      </c>
      <c r="B515" s="1">
        <v>20</v>
      </c>
      <c r="C515" s="1" t="str">
        <f t="shared" si="138"/>
        <v>项</v>
      </c>
      <c r="D515" s="1" t="str">
        <f t="shared" si="137"/>
        <v>项</v>
      </c>
      <c r="E515" s="1" t="str">
        <f t="shared" si="129"/>
        <v>检验费</v>
      </c>
    </row>
    <row r="516" spans="1:5">
      <c r="A516" s="1" t="str">
        <f>"EB病毒抗体测定IgG（各种免疫学方法）"</f>
        <v>EB病毒抗体测定IgG（各种免疫学方法）</v>
      </c>
      <c r="B516" s="1">
        <v>20</v>
      </c>
      <c r="C516" s="1" t="str">
        <f t="shared" si="138"/>
        <v>项</v>
      </c>
      <c r="D516" s="1" t="str">
        <f t="shared" si="137"/>
        <v>项</v>
      </c>
      <c r="E516" s="1" t="str">
        <f t="shared" si="129"/>
        <v>检验费</v>
      </c>
    </row>
    <row r="517" spans="1:5">
      <c r="A517" s="1" t="str">
        <f>"EB病毒抗体测定IgM（各种免疫学方法）"</f>
        <v>EB病毒抗体测定IgM（各种免疫学方法）</v>
      </c>
      <c r="B517" s="1">
        <v>20</v>
      </c>
      <c r="C517" s="1" t="str">
        <f t="shared" si="138"/>
        <v>项</v>
      </c>
      <c r="D517" s="1" t="str">
        <f t="shared" si="137"/>
        <v>项</v>
      </c>
      <c r="E517" s="1" t="str">
        <f t="shared" si="129"/>
        <v>检验费</v>
      </c>
    </row>
    <row r="518" spans="1:5">
      <c r="A518" s="1" t="str">
        <f>"EB病毒抗体测定（免疫印迹法）"</f>
        <v>EB病毒抗体测定（免疫印迹法）</v>
      </c>
      <c r="B518" s="1">
        <v>45</v>
      </c>
      <c r="C518" s="1" t="str">
        <f t="shared" si="138"/>
        <v>项</v>
      </c>
      <c r="D518" s="1" t="str">
        <f t="shared" si="137"/>
        <v>项</v>
      </c>
      <c r="E518" s="1" t="str">
        <f t="shared" si="129"/>
        <v>检验费</v>
      </c>
    </row>
    <row r="519" spans="1:5">
      <c r="A519" s="1" t="str">
        <f>"呼吸道合胞病毒抗体测定"</f>
        <v>呼吸道合胞病毒抗体测定</v>
      </c>
      <c r="B519" s="1">
        <v>20</v>
      </c>
      <c r="C519" s="1" t="str">
        <f t="shared" si="138"/>
        <v>项</v>
      </c>
      <c r="D519" s="1" t="str">
        <f t="shared" si="137"/>
        <v>项</v>
      </c>
      <c r="E519" s="1" t="str">
        <f t="shared" si="129"/>
        <v>检验费</v>
      </c>
    </row>
    <row r="520" spans="1:5">
      <c r="A520" s="1" t="str">
        <f>"副流感病毒抗体测定"</f>
        <v>副流感病毒抗体测定</v>
      </c>
      <c r="B520" s="1">
        <v>20</v>
      </c>
      <c r="C520" s="1" t="str">
        <f t="shared" si="138"/>
        <v>项</v>
      </c>
      <c r="D520" s="1" t="str">
        <f t="shared" si="137"/>
        <v>项</v>
      </c>
      <c r="E520" s="1" t="str">
        <f t="shared" si="129"/>
        <v>检验费</v>
      </c>
    </row>
    <row r="521" spans="1:5">
      <c r="A521" s="1" t="str">
        <f>"腺病毒抗体测定"</f>
        <v>腺病毒抗体测定</v>
      </c>
      <c r="B521" s="1">
        <v>15</v>
      </c>
      <c r="C521" s="1" t="str">
        <f t="shared" si="138"/>
        <v>项</v>
      </c>
      <c r="D521" s="1" t="str">
        <f t="shared" si="137"/>
        <v>项</v>
      </c>
      <c r="E521" s="1" t="str">
        <f t="shared" si="129"/>
        <v>检验费</v>
      </c>
    </row>
    <row r="522" spans="1:5">
      <c r="A522" s="1" t="str">
        <f>"病毒血清学试验"</f>
        <v>病毒血清学试验</v>
      </c>
      <c r="B522" s="1">
        <v>25</v>
      </c>
      <c r="C522" s="1" t="str">
        <f t="shared" si="138"/>
        <v>项</v>
      </c>
      <c r="D522" s="1" t="str">
        <f t="shared" si="137"/>
        <v>项</v>
      </c>
      <c r="E522" s="1" t="str">
        <f t="shared" si="129"/>
        <v>检验费</v>
      </c>
    </row>
    <row r="523" spans="1:5">
      <c r="A523" s="1" t="str">
        <f>"细菌抗体测定（各种免疫学方法）"</f>
        <v>细菌抗体测定（各种免疫学方法）</v>
      </c>
      <c r="B523" s="1">
        <v>25</v>
      </c>
      <c r="C523" s="1" t="str">
        <f t="shared" si="138"/>
        <v>项</v>
      </c>
      <c r="D523" s="1" t="str">
        <f t="shared" si="137"/>
        <v>项</v>
      </c>
      <c r="E523" s="1" t="str">
        <f t="shared" si="129"/>
        <v>检验费</v>
      </c>
    </row>
    <row r="524" spans="1:5">
      <c r="A524" s="1" t="str">
        <f>"细菌抗体测定"</f>
        <v>细菌抗体测定</v>
      </c>
      <c r="B524" s="1">
        <v>45</v>
      </c>
      <c r="C524" s="1" t="str">
        <f t="shared" si="138"/>
        <v>项</v>
      </c>
      <c r="D524" s="1" t="str">
        <f t="shared" si="137"/>
        <v>项</v>
      </c>
      <c r="E524" s="1" t="str">
        <f t="shared" si="129"/>
        <v>检验费</v>
      </c>
    </row>
    <row r="525" spans="1:5">
      <c r="A525" s="1" t="str">
        <f>"抗链球菌溶血素O测定(ASO)（免疫法）"</f>
        <v>抗链球菌溶血素O测定(ASO)（免疫法）</v>
      </c>
      <c r="B525" s="1">
        <v>30</v>
      </c>
      <c r="C525" s="1" t="str">
        <f>"-"</f>
        <v>-</v>
      </c>
      <c r="D525" s="1" t="str">
        <f t="shared" si="137"/>
        <v>项</v>
      </c>
      <c r="E525" s="1" t="str">
        <f t="shared" si="129"/>
        <v>检验费</v>
      </c>
    </row>
    <row r="526" spans="1:5">
      <c r="A526" s="1" t="str">
        <f>"肺炎支原体血清学试验（凝集法）"</f>
        <v>肺炎支原体血清学试验（凝集法）</v>
      </c>
      <c r="B526" s="1">
        <v>20</v>
      </c>
      <c r="C526" s="1" t="str">
        <f t="shared" ref="C526:C532" si="139">"项"</f>
        <v>项</v>
      </c>
      <c r="D526" s="1" t="str">
        <f t="shared" si="137"/>
        <v>项</v>
      </c>
      <c r="E526" s="1" t="str">
        <f t="shared" si="129"/>
        <v>检验费</v>
      </c>
    </row>
    <row r="527" spans="1:5">
      <c r="A527" s="1" t="str">
        <f>"肺炎支原体血清学试验免疫印迹法"</f>
        <v>肺炎支原体血清学试验免疫印迹法</v>
      </c>
      <c r="B527" s="1">
        <v>45</v>
      </c>
      <c r="C527" s="1" t="str">
        <f t="shared" si="139"/>
        <v>项</v>
      </c>
      <c r="D527" s="1" t="str">
        <f t="shared" si="137"/>
        <v>项</v>
      </c>
      <c r="E527" s="1" t="str">
        <f t="shared" si="129"/>
        <v>检验费</v>
      </c>
    </row>
    <row r="528" spans="1:5">
      <c r="A528" s="1" t="str">
        <f>"肺炎支原体血清学试验ELISA法"</f>
        <v>肺炎支原体血清学试验ELISA法</v>
      </c>
      <c r="B528" s="1">
        <v>35</v>
      </c>
      <c r="C528" s="1" t="str">
        <f t="shared" si="139"/>
        <v>项</v>
      </c>
      <c r="D528" s="1" t="str">
        <f t="shared" si="137"/>
        <v>项</v>
      </c>
      <c r="E528" s="1" t="str">
        <f t="shared" si="129"/>
        <v>检验费</v>
      </c>
    </row>
    <row r="529" spans="1:5">
      <c r="A529" s="1" t="str">
        <f>"梅毒螺旋体特异抗体测定（凝集法）"</f>
        <v>梅毒螺旋体特异抗体测定（凝集法）</v>
      </c>
      <c r="B529" s="1">
        <v>20</v>
      </c>
      <c r="C529" s="1" t="str">
        <f t="shared" si="139"/>
        <v>项</v>
      </c>
      <c r="D529" s="1" t="str">
        <f t="shared" si="137"/>
        <v>项</v>
      </c>
      <c r="E529" s="1" t="str">
        <f t="shared" ref="E529:E592" si="140">"检验费"</f>
        <v>检验费</v>
      </c>
    </row>
    <row r="530" spans="1:5">
      <c r="A530" s="1" t="str">
        <f>"快速血浆反应素检测"</f>
        <v>快速血浆反应素检测</v>
      </c>
      <c r="B530" s="1">
        <v>20</v>
      </c>
      <c r="C530" s="1" t="str">
        <f t="shared" si="139"/>
        <v>项</v>
      </c>
      <c r="D530" s="1" t="str">
        <f t="shared" si="137"/>
        <v>项</v>
      </c>
      <c r="E530" s="1" t="str">
        <f t="shared" si="140"/>
        <v>检验费</v>
      </c>
    </row>
    <row r="531" spans="1:5">
      <c r="A531" s="1" t="str">
        <f>"快速血浆反应素测定(梅毒、定量)"</f>
        <v>快速血浆反应素测定(梅毒、定量)</v>
      </c>
      <c r="B531" s="1">
        <v>40</v>
      </c>
      <c r="C531" s="1" t="str">
        <f t="shared" si="139"/>
        <v>项</v>
      </c>
      <c r="D531" s="1" t="str">
        <f t="shared" si="137"/>
        <v>项</v>
      </c>
      <c r="E531" s="1" t="str">
        <f t="shared" si="140"/>
        <v>检验费</v>
      </c>
    </row>
    <row r="532" spans="1:5">
      <c r="A532" s="1" t="str">
        <f>"淋球菌DNA定量（NG-DNA）"</f>
        <v>淋球菌DNA定量（NG-DNA）</v>
      </c>
      <c r="B532" s="1">
        <v>150</v>
      </c>
      <c r="C532" s="1" t="str">
        <f t="shared" si="139"/>
        <v>项</v>
      </c>
      <c r="D532" s="1" t="str">
        <f t="shared" si="137"/>
        <v>项</v>
      </c>
      <c r="E532" s="1" t="str">
        <f t="shared" si="140"/>
        <v>检验费</v>
      </c>
    </row>
    <row r="533" spans="1:5">
      <c r="A533" s="1" t="str">
        <f>"人乳头瘤病毒(HPV)DNA测定"</f>
        <v>人乳头瘤病毒(HPV)DNA测定</v>
      </c>
      <c r="B533" s="1">
        <v>320</v>
      </c>
      <c r="C533" s="1" t="str">
        <f t="shared" ref="C533:C537" si="141">"次"</f>
        <v>次</v>
      </c>
      <c r="D533" s="1" t="str">
        <f t="shared" ref="D533:D537" si="142">"次"</f>
        <v>次</v>
      </c>
      <c r="E533" s="1" t="str">
        <f t="shared" si="140"/>
        <v>检验费</v>
      </c>
    </row>
    <row r="534" spans="1:5">
      <c r="A534" s="1" t="str">
        <f>"13碳尿素呼气试验"</f>
        <v>13碳尿素呼气试验</v>
      </c>
      <c r="B534" s="1">
        <v>150</v>
      </c>
      <c r="C534" s="1" t="str">
        <f t="shared" si="141"/>
        <v>次</v>
      </c>
      <c r="D534" s="1" t="str">
        <f t="shared" si="142"/>
        <v>次</v>
      </c>
      <c r="E534" s="1" t="str">
        <f t="shared" si="140"/>
        <v>检验费</v>
      </c>
    </row>
    <row r="535" spans="1:5">
      <c r="A535" s="1" t="str">
        <f>"幽门螺杆菌粪便抗原检查（酶联免疫法）"</f>
        <v>幽门螺杆菌粪便抗原检查（酶联免疫法）</v>
      </c>
      <c r="B535" s="1">
        <v>120</v>
      </c>
      <c r="C535" s="1" t="str">
        <f t="shared" ref="C535:C540" si="143">"项"</f>
        <v>项</v>
      </c>
      <c r="D535" s="1" t="str">
        <f t="shared" ref="D535:D540" si="144">"项"</f>
        <v>项</v>
      </c>
      <c r="E535" s="1" t="str">
        <f t="shared" si="140"/>
        <v>检验费</v>
      </c>
    </row>
    <row r="536" spans="1:5">
      <c r="A536" s="1" t="str">
        <f>"呼吸道感染病原体IgM抗体检测"</f>
        <v>呼吸道感染病原体IgM抗体检测</v>
      </c>
      <c r="B536" s="1">
        <v>45</v>
      </c>
      <c r="C536" s="1" t="str">
        <f t="shared" si="143"/>
        <v>项</v>
      </c>
      <c r="D536" s="1" t="str">
        <f t="shared" si="144"/>
        <v>项</v>
      </c>
      <c r="E536" s="1" t="str">
        <f t="shared" si="140"/>
        <v>检验费</v>
      </c>
    </row>
    <row r="537" spans="1:5">
      <c r="A537" s="1" t="str">
        <f>"呼吸道病毒抗原检测（免疫荧光法）"</f>
        <v>呼吸道病毒抗原检测（免疫荧光法）</v>
      </c>
      <c r="B537" s="1">
        <v>45</v>
      </c>
      <c r="C537" s="1" t="str">
        <f t="shared" si="141"/>
        <v>次</v>
      </c>
      <c r="D537" s="1" t="str">
        <f t="shared" si="142"/>
        <v>次</v>
      </c>
      <c r="E537" s="1" t="str">
        <f t="shared" si="140"/>
        <v>检验费</v>
      </c>
    </row>
    <row r="538" spans="1:5">
      <c r="A538" s="1" t="str">
        <f>"胃泌素-17检测"</f>
        <v>胃泌素-17检测</v>
      </c>
      <c r="B538" s="1">
        <v>105</v>
      </c>
      <c r="C538" s="1" t="str">
        <f t="shared" si="143"/>
        <v>项</v>
      </c>
      <c r="D538" s="1" t="str">
        <f t="shared" si="144"/>
        <v>项</v>
      </c>
      <c r="E538" s="1" t="str">
        <f t="shared" si="140"/>
        <v>检验费</v>
      </c>
    </row>
    <row r="539" spans="1:5">
      <c r="A539" s="1" t="str">
        <f>"新型冠状病毒抗体检测"</f>
        <v>新型冠状病毒抗体检测</v>
      </c>
      <c r="B539" s="1">
        <v>30</v>
      </c>
      <c r="C539" s="1" t="str">
        <f t="shared" si="143"/>
        <v>项</v>
      </c>
      <c r="D539" s="1" t="str">
        <f t="shared" si="144"/>
        <v>项</v>
      </c>
      <c r="E539" s="1" t="str">
        <f t="shared" si="140"/>
        <v>检验费</v>
      </c>
    </row>
    <row r="540" spans="1:5">
      <c r="A540" s="1" t="str">
        <f>"新型冠状病毒核酸检测"</f>
        <v>新型冠状病毒核酸检测</v>
      </c>
      <c r="B540" s="1">
        <v>16</v>
      </c>
      <c r="C540" s="1" t="str">
        <f t="shared" si="143"/>
        <v>项</v>
      </c>
      <c r="D540" s="1" t="str">
        <f t="shared" si="144"/>
        <v>项</v>
      </c>
      <c r="E540" s="1" t="str">
        <f t="shared" si="140"/>
        <v>检验费</v>
      </c>
    </row>
    <row r="541" spans="1:5">
      <c r="A541" s="1" t="str">
        <f>"新型冠状病毒核酸检测（混检）"</f>
        <v>新型冠状病毒核酸检测（混检）</v>
      </c>
      <c r="B541" s="1">
        <v>4</v>
      </c>
      <c r="C541" s="1" t="str">
        <f>"人次"</f>
        <v>人次</v>
      </c>
      <c r="D541" s="1" t="str">
        <f>"次"</f>
        <v>次</v>
      </c>
      <c r="E541" s="1" t="str">
        <f t="shared" si="140"/>
        <v>检验费</v>
      </c>
    </row>
    <row r="542" spans="1:5">
      <c r="A542" s="1" t="str">
        <f>"癌胚抗原测定(CEA)各种免疫学方法"</f>
        <v>癌胚抗原测定(CEA)各种免疫学方法</v>
      </c>
      <c r="B542" s="1">
        <v>15</v>
      </c>
      <c r="C542" s="1" t="str">
        <f t="shared" ref="C542:C550" si="145">"项"</f>
        <v>项</v>
      </c>
      <c r="D542" s="1" t="str">
        <f t="shared" ref="D542:D550" si="146">"项"</f>
        <v>项</v>
      </c>
      <c r="E542" s="1" t="str">
        <f t="shared" si="140"/>
        <v>检验费</v>
      </c>
    </row>
    <row r="543" spans="1:5">
      <c r="A543" s="1" t="str">
        <f>"(CEA)癌胚抗原测定"</f>
        <v>(CEA)癌胚抗原测定</v>
      </c>
      <c r="B543" s="1">
        <v>45</v>
      </c>
      <c r="C543" s="1" t="str">
        <f t="shared" si="145"/>
        <v>项</v>
      </c>
      <c r="D543" s="1" t="str">
        <f t="shared" si="146"/>
        <v>项</v>
      </c>
      <c r="E543" s="1" t="str">
        <f t="shared" si="140"/>
        <v>检验费</v>
      </c>
    </row>
    <row r="544" spans="1:5">
      <c r="A544" s="1" t="str">
        <f>"甲胎蛋白测定(AFP)各种免疫学方法"</f>
        <v>甲胎蛋白测定(AFP)各种免疫学方法</v>
      </c>
      <c r="B544" s="1">
        <v>15</v>
      </c>
      <c r="C544" s="1" t="str">
        <f t="shared" si="145"/>
        <v>项</v>
      </c>
      <c r="D544" s="1" t="str">
        <f t="shared" si="146"/>
        <v>项</v>
      </c>
      <c r="E544" s="1" t="str">
        <f t="shared" si="140"/>
        <v>检验费</v>
      </c>
    </row>
    <row r="545" spans="1:5">
      <c r="A545" s="1" t="str">
        <f>"(AFP)甲胎蛋白测定"</f>
        <v>(AFP)甲胎蛋白测定</v>
      </c>
      <c r="B545" s="1">
        <v>40</v>
      </c>
      <c r="C545" s="1" t="str">
        <f t="shared" si="145"/>
        <v>项</v>
      </c>
      <c r="D545" s="1" t="str">
        <f t="shared" si="146"/>
        <v>项</v>
      </c>
      <c r="E545" s="1" t="str">
        <f t="shared" si="140"/>
        <v>检验费</v>
      </c>
    </row>
    <row r="546" spans="1:5">
      <c r="A546" s="1" t="str">
        <f>"总前列腺特异性抗原测定(TPSA)（各种免疫学方法）"</f>
        <v>总前列腺特异性抗原测定(TPSA)（各种免疫学方法）</v>
      </c>
      <c r="B546" s="1">
        <v>30</v>
      </c>
      <c r="C546" s="1" t="str">
        <f t="shared" si="145"/>
        <v>项</v>
      </c>
      <c r="D546" s="1" t="str">
        <f t="shared" si="146"/>
        <v>项</v>
      </c>
      <c r="E546" s="1" t="str">
        <f t="shared" si="140"/>
        <v>检验费</v>
      </c>
    </row>
    <row r="547" spans="1:5">
      <c r="A547" s="1" t="str">
        <f>"总前列腺特异性抗原测定(TPSA)各种免疫学方法"</f>
        <v>总前列腺特异性抗原测定(TPSA)各种免疫学方法</v>
      </c>
      <c r="B547" s="1">
        <v>65</v>
      </c>
      <c r="C547" s="1" t="str">
        <f t="shared" si="145"/>
        <v>项</v>
      </c>
      <c r="D547" s="1" t="str">
        <f t="shared" si="146"/>
        <v>项</v>
      </c>
      <c r="E547" s="1" t="str">
        <f t="shared" si="140"/>
        <v>检验费</v>
      </c>
    </row>
    <row r="548" spans="1:5">
      <c r="A548" s="1" t="str">
        <f>"游离前列腺特异性抗原测定(FPSA)各种免疫学方法"</f>
        <v>游离前列腺特异性抗原测定(FPSA)各种免疫学方法</v>
      </c>
      <c r="B548" s="1">
        <v>30</v>
      </c>
      <c r="C548" s="1" t="str">
        <f t="shared" si="145"/>
        <v>项</v>
      </c>
      <c r="D548" s="1" t="str">
        <f t="shared" si="146"/>
        <v>项</v>
      </c>
      <c r="E548" s="1" t="str">
        <f t="shared" si="140"/>
        <v>检验费</v>
      </c>
    </row>
    <row r="549" spans="1:5">
      <c r="A549" s="1" t="str">
        <f>"游离前列腺特异性抗原测定(FPSA)"</f>
        <v>游离前列腺特异性抗原测定(FPSA)</v>
      </c>
      <c r="B549" s="1">
        <v>65</v>
      </c>
      <c r="C549" s="1" t="str">
        <f t="shared" si="145"/>
        <v>项</v>
      </c>
      <c r="D549" s="1" t="str">
        <f t="shared" si="146"/>
        <v>项</v>
      </c>
      <c r="E549" s="1" t="str">
        <f t="shared" si="140"/>
        <v>检验费</v>
      </c>
    </row>
    <row r="550" spans="1:5">
      <c r="A550" s="1" t="str">
        <f>"神经元特异性烯醇化酶测定(NSE)"</f>
        <v>神经元特异性烯醇化酶测定(NSE)</v>
      </c>
      <c r="B550" s="1">
        <v>65</v>
      </c>
      <c r="C550" s="1" t="str">
        <f t="shared" si="145"/>
        <v>项</v>
      </c>
      <c r="D550" s="1" t="str">
        <f t="shared" si="146"/>
        <v>项</v>
      </c>
      <c r="E550" s="1" t="str">
        <f t="shared" si="140"/>
        <v>检验费</v>
      </c>
    </row>
    <row r="551" spans="1:5">
      <c r="A551" s="1" t="str">
        <f>"细胞角蛋白19片段测定(CYFRA21-1)（化学发光法、荧光免疫法）"</f>
        <v>细胞角蛋白19片段测定(CYFRA21-1)（化学发光法、荧光免疫法）</v>
      </c>
      <c r="B551" s="1">
        <v>65</v>
      </c>
      <c r="C551" s="1" t="str">
        <f>"-"</f>
        <v>-</v>
      </c>
      <c r="D551" s="1" t="str">
        <f>"次"</f>
        <v>次</v>
      </c>
      <c r="E551" s="1" t="str">
        <f t="shared" si="140"/>
        <v>检验费</v>
      </c>
    </row>
    <row r="552" spans="1:5">
      <c r="A552" s="1" t="str">
        <f>"糖类抗原测定CA125(化学发光法、荧光免疫法)"</f>
        <v>糖类抗原测定CA125(化学发光法、荧光免疫法)</v>
      </c>
      <c r="B552" s="1">
        <v>65</v>
      </c>
      <c r="C552" s="1" t="str">
        <f t="shared" ref="C552:C555" si="147">"项"</f>
        <v>项</v>
      </c>
      <c r="D552" s="1" t="str">
        <f t="shared" ref="D552:D555" si="148">"项"</f>
        <v>项</v>
      </c>
      <c r="E552" s="1" t="str">
        <f t="shared" si="140"/>
        <v>检验费</v>
      </c>
    </row>
    <row r="553" spans="1:5">
      <c r="A553" s="1" t="str">
        <f>"糖类抗原测定CA19-9(化学发光法、荧光免疫法)"</f>
        <v>糖类抗原测定CA19-9(化学发光法、荧光免疫法)</v>
      </c>
      <c r="B553" s="1">
        <v>65</v>
      </c>
      <c r="C553" s="1" t="str">
        <f t="shared" si="147"/>
        <v>项</v>
      </c>
      <c r="D553" s="1" t="str">
        <f t="shared" si="148"/>
        <v>项</v>
      </c>
      <c r="E553" s="1" t="str">
        <f t="shared" si="140"/>
        <v>检验费</v>
      </c>
    </row>
    <row r="554" spans="1:5">
      <c r="A554" s="1" t="str">
        <f>"糖类抗原测定CA15-3(化学发光法、荧光免疫法)"</f>
        <v>糖类抗原测定CA15-3(化学发光法、荧光免疫法)</v>
      </c>
      <c r="B554" s="1">
        <v>65</v>
      </c>
      <c r="C554" s="1" t="str">
        <f t="shared" si="147"/>
        <v>项</v>
      </c>
      <c r="D554" s="1" t="str">
        <f t="shared" si="148"/>
        <v>项</v>
      </c>
      <c r="E554" s="1" t="str">
        <f t="shared" si="140"/>
        <v>检验费</v>
      </c>
    </row>
    <row r="555" spans="1:5">
      <c r="A555" s="1" t="str">
        <f>"糖类抗原测定CA72-4(化学发光法、荧光免疫法)"</f>
        <v>糖类抗原测定CA72-4(化学发光法、荧光免疫法)</v>
      </c>
      <c r="B555" s="1">
        <v>65</v>
      </c>
      <c r="C555" s="1" t="str">
        <f t="shared" si="147"/>
        <v>项</v>
      </c>
      <c r="D555" s="1" t="str">
        <f t="shared" si="148"/>
        <v>项</v>
      </c>
      <c r="E555" s="1" t="str">
        <f t="shared" si="140"/>
        <v>检验费</v>
      </c>
    </row>
    <row r="556" spans="1:5">
      <c r="A556" s="1" t="str">
        <f>"糖类抗原测定CA24-2(化学发光法、荧光免疫法)"</f>
        <v>糖类抗原测定CA24-2(化学发光法、荧光免疫法)</v>
      </c>
      <c r="B556" s="1">
        <v>65</v>
      </c>
      <c r="C556" s="1" t="str">
        <f t="shared" ref="C556:C559" si="149">"/"</f>
        <v>/</v>
      </c>
      <c r="D556" s="1" t="str">
        <f t="shared" ref="D556:D559" si="150">"次"</f>
        <v>次</v>
      </c>
      <c r="E556" s="1" t="str">
        <f t="shared" si="140"/>
        <v>检验费</v>
      </c>
    </row>
    <row r="557" spans="1:5">
      <c r="A557" s="1" t="str">
        <f>"糖类抗原测定CA130(化学发光法、荧光免疫法)"</f>
        <v>糖类抗原测定CA130(化学发光法、荧光免疫法)</v>
      </c>
      <c r="B557" s="1">
        <v>65</v>
      </c>
      <c r="C557" s="1" t="str">
        <f t="shared" si="149"/>
        <v>/</v>
      </c>
      <c r="D557" s="1" t="str">
        <f t="shared" si="150"/>
        <v>次</v>
      </c>
      <c r="E557" s="1" t="str">
        <f t="shared" si="140"/>
        <v>检验费</v>
      </c>
    </row>
    <row r="558" spans="1:5">
      <c r="A558" s="1" t="str">
        <f>"糖类抗原测定CA-50(化学发光法、荧光免疫法)"</f>
        <v>糖类抗原测定CA-50(化学发光法、荧光免疫法)</v>
      </c>
      <c r="B558" s="1">
        <v>65</v>
      </c>
      <c r="C558" s="1" t="str">
        <f t="shared" si="149"/>
        <v>/</v>
      </c>
      <c r="D558" s="1" t="str">
        <f t="shared" si="150"/>
        <v>次</v>
      </c>
      <c r="E558" s="1" t="str">
        <f t="shared" si="140"/>
        <v>检验费</v>
      </c>
    </row>
    <row r="559" spans="1:5">
      <c r="A559" s="1" t="str">
        <f>"糖类抗原测定CA-29(化学发光法、荧光免疫法)"</f>
        <v>糖类抗原测定CA-29(化学发光法、荧光免疫法)</v>
      </c>
      <c r="B559" s="1">
        <v>65</v>
      </c>
      <c r="C559" s="1" t="str">
        <f t="shared" si="149"/>
        <v>/</v>
      </c>
      <c r="D559" s="1" t="str">
        <f t="shared" si="150"/>
        <v>次</v>
      </c>
      <c r="E559" s="1" t="str">
        <f t="shared" si="140"/>
        <v>检验费</v>
      </c>
    </row>
    <row r="560" spans="1:5">
      <c r="A560" s="1" t="str">
        <f>"鳞状细胞癌相关抗原测定"</f>
        <v>鳞状细胞癌相关抗原测定</v>
      </c>
      <c r="B560" s="1">
        <v>65</v>
      </c>
      <c r="C560" s="1">
        <v>1</v>
      </c>
      <c r="D560" s="1" t="str">
        <f t="shared" ref="D560:D563" si="151">"项"</f>
        <v>项</v>
      </c>
      <c r="E560" s="1" t="str">
        <f t="shared" si="140"/>
        <v>检验费</v>
      </c>
    </row>
    <row r="561" spans="1:5">
      <c r="A561" s="1" t="str">
        <f>"肿瘤相关抗原测定(MG-Ags)"</f>
        <v>肿瘤相关抗原测定(MG-Ags)</v>
      </c>
      <c r="B561" s="1">
        <v>65</v>
      </c>
      <c r="C561" s="1" t="str">
        <f>"-"</f>
        <v>-</v>
      </c>
      <c r="D561" s="1" t="str">
        <f t="shared" si="151"/>
        <v>项</v>
      </c>
      <c r="E561" s="1" t="str">
        <f t="shared" si="140"/>
        <v>检验费</v>
      </c>
    </row>
    <row r="562" spans="1:5">
      <c r="A562" s="1" t="str">
        <f>"血清肿瘤相关物质检测(TAM)"</f>
        <v>血清肿瘤相关物质检测(TAM)</v>
      </c>
      <c r="B562" s="1">
        <v>180</v>
      </c>
      <c r="C562" s="1" t="str">
        <f t="shared" ref="C562:C567" si="152">"次"</f>
        <v>次</v>
      </c>
      <c r="D562" s="1" t="str">
        <f t="shared" ref="D562:D568" si="153">"次"</f>
        <v>次</v>
      </c>
      <c r="E562" s="1" t="str">
        <f t="shared" si="140"/>
        <v>检验费</v>
      </c>
    </row>
    <row r="563" spans="1:5">
      <c r="A563" s="1" t="str">
        <f>"铁蛋白测定各种发光法，定量测定"</f>
        <v>铁蛋白测定各种发光法，定量测定</v>
      </c>
      <c r="B563" s="1">
        <v>55</v>
      </c>
      <c r="C563" s="1" t="str">
        <f>"项"</f>
        <v>项</v>
      </c>
      <c r="D563" s="1" t="str">
        <f t="shared" si="151"/>
        <v>项</v>
      </c>
      <c r="E563" s="1" t="str">
        <f t="shared" si="140"/>
        <v>检验费</v>
      </c>
    </row>
    <row r="564" spans="1:5">
      <c r="A564" s="1" t="str">
        <f>"血清胃蛋白酶原Ⅱ荧光免疫法"</f>
        <v>血清胃蛋白酶原Ⅱ荧光免疫法</v>
      </c>
      <c r="B564" s="1">
        <v>55</v>
      </c>
      <c r="C564" s="1" t="str">
        <f t="shared" si="152"/>
        <v>次</v>
      </c>
      <c r="D564" s="1" t="str">
        <f t="shared" si="153"/>
        <v>次</v>
      </c>
      <c r="E564" s="1" t="str">
        <f t="shared" si="140"/>
        <v>检验费</v>
      </c>
    </row>
    <row r="565" spans="1:5">
      <c r="A565" s="1" t="str">
        <f>"血清胃蛋白酶原I测定 胶乳免疫测定法"</f>
        <v>血清胃蛋白酶原I测定 胶乳免疫测定法</v>
      </c>
      <c r="B565" s="1">
        <v>90</v>
      </c>
      <c r="C565" s="1" t="str">
        <f t="shared" si="152"/>
        <v>次</v>
      </c>
      <c r="D565" s="1" t="str">
        <f t="shared" si="153"/>
        <v>次</v>
      </c>
      <c r="E565" s="1" t="str">
        <f t="shared" si="140"/>
        <v>检验费</v>
      </c>
    </row>
    <row r="566" spans="1:5">
      <c r="A566" s="1" t="str">
        <f>"血清胃蛋白酶原Ⅰ测定(PGⅠ)"</f>
        <v>血清胃蛋白酶原Ⅰ测定(PGⅠ)</v>
      </c>
      <c r="B566" s="1">
        <v>90</v>
      </c>
      <c r="C566" s="1" t="str">
        <f t="shared" si="152"/>
        <v>次</v>
      </c>
      <c r="D566" s="1" t="str">
        <f t="shared" si="153"/>
        <v>次</v>
      </c>
      <c r="E566" s="1" t="str">
        <f t="shared" si="140"/>
        <v>检验费</v>
      </c>
    </row>
    <row r="567" spans="1:5">
      <c r="A567" s="1" t="str">
        <f>"血清胃蛋白酶原Ⅱ测定(PGⅡ)"</f>
        <v>血清胃蛋白酶原Ⅱ测定(PGⅡ)</v>
      </c>
      <c r="B567" s="1">
        <v>90</v>
      </c>
      <c r="C567" s="1" t="str">
        <f t="shared" si="152"/>
        <v>次</v>
      </c>
      <c r="D567" s="1" t="str">
        <f t="shared" si="153"/>
        <v>次</v>
      </c>
      <c r="E567" s="1" t="str">
        <f t="shared" si="140"/>
        <v>检验费</v>
      </c>
    </row>
    <row r="568" spans="1:5">
      <c r="A568" s="1" t="str">
        <f>"人附睾蛋白4测定"</f>
        <v>人附睾蛋白4测定</v>
      </c>
      <c r="B568" s="1">
        <v>125</v>
      </c>
      <c r="C568" s="1">
        <v>1</v>
      </c>
      <c r="D568" s="1" t="str">
        <f t="shared" si="153"/>
        <v>次</v>
      </c>
      <c r="E568" s="1" t="str">
        <f t="shared" si="140"/>
        <v>检验费</v>
      </c>
    </row>
    <row r="569" spans="1:5">
      <c r="A569" s="1" t="str">
        <f>"总IgE测定(各种发光法，定量测定)"</f>
        <v>总IgE测定(各种发光法，定量测定)</v>
      </c>
      <c r="B569" s="1">
        <v>60</v>
      </c>
      <c r="C569" s="1" t="str">
        <f>"-"</f>
        <v>-</v>
      </c>
      <c r="D569" s="1" t="str">
        <f t="shared" ref="D569:D575" si="154">"项"</f>
        <v>项</v>
      </c>
      <c r="E569" s="1" t="str">
        <f t="shared" si="140"/>
        <v>检验费</v>
      </c>
    </row>
    <row r="570" spans="1:5">
      <c r="A570" s="1" t="str">
        <f>"吸入物变应原筛查"</f>
        <v>吸入物变应原筛查</v>
      </c>
      <c r="B570" s="1">
        <v>30</v>
      </c>
      <c r="C570" s="1" t="str">
        <f t="shared" ref="C570:C574" si="155">"项"</f>
        <v>项</v>
      </c>
      <c r="D570" s="1" t="str">
        <f t="shared" si="154"/>
        <v>项</v>
      </c>
      <c r="E570" s="1" t="str">
        <f t="shared" si="140"/>
        <v>检验费</v>
      </c>
    </row>
    <row r="571" spans="1:5">
      <c r="A571" s="1" t="str">
        <f>"食入物变应原筛查"</f>
        <v>食入物变应原筛查</v>
      </c>
      <c r="B571" s="1">
        <v>30</v>
      </c>
      <c r="C571" s="1">
        <v>1</v>
      </c>
      <c r="D571" s="1" t="str">
        <f t="shared" si="154"/>
        <v>项</v>
      </c>
      <c r="E571" s="1" t="str">
        <f t="shared" si="140"/>
        <v>检验费</v>
      </c>
    </row>
    <row r="572" spans="1:5">
      <c r="A572" s="1" t="str">
        <f>"专项变应原（单价变应原）筛查"</f>
        <v>专项变应原（单价变应原）筛查</v>
      </c>
      <c r="B572" s="1">
        <v>25</v>
      </c>
      <c r="C572" s="1" t="str">
        <f t="shared" si="155"/>
        <v>项</v>
      </c>
      <c r="D572" s="1" t="str">
        <f t="shared" si="154"/>
        <v>项</v>
      </c>
      <c r="E572" s="1" t="str">
        <f t="shared" si="140"/>
        <v>检验费</v>
      </c>
    </row>
    <row r="573" spans="1:5">
      <c r="A573" s="1" t="str">
        <f>"专项变应原（单价变应原）筛查各种发光法，定量测定"</f>
        <v>专项变应原（单价变应原）筛查各种发光法，定量测定</v>
      </c>
      <c r="B573" s="1">
        <v>60</v>
      </c>
      <c r="C573" s="1" t="str">
        <f t="shared" si="155"/>
        <v>项</v>
      </c>
      <c r="D573" s="1" t="str">
        <f t="shared" si="154"/>
        <v>项</v>
      </c>
      <c r="E573" s="1" t="str">
        <f t="shared" si="140"/>
        <v>检验费</v>
      </c>
    </row>
    <row r="574" spans="1:5">
      <c r="A574" s="1" t="str">
        <f>"一般细菌涂片检查"</f>
        <v>一般细菌涂片检查</v>
      </c>
      <c r="B574" s="1">
        <v>10</v>
      </c>
      <c r="C574" s="1" t="str">
        <f t="shared" si="155"/>
        <v>项</v>
      </c>
      <c r="D574" s="1" t="str">
        <f t="shared" si="154"/>
        <v>项</v>
      </c>
      <c r="E574" s="1" t="str">
        <f t="shared" si="140"/>
        <v>检验费</v>
      </c>
    </row>
    <row r="575" spans="1:5">
      <c r="A575" s="1" t="str">
        <f>"结核菌涂片检查"</f>
        <v>结核菌涂片检查</v>
      </c>
      <c r="B575" s="1">
        <v>10</v>
      </c>
      <c r="C575" s="1">
        <v>1</v>
      </c>
      <c r="D575" s="1" t="str">
        <f t="shared" si="154"/>
        <v>项</v>
      </c>
      <c r="E575" s="1" t="str">
        <f t="shared" si="140"/>
        <v>检验费</v>
      </c>
    </row>
    <row r="576" spans="1:5">
      <c r="A576" s="1" t="str">
        <f>"特殊细菌涂片检查"</f>
        <v>特殊细菌涂片检查</v>
      </c>
      <c r="B576" s="1">
        <v>5</v>
      </c>
      <c r="C576" s="1" t="str">
        <f>"次"</f>
        <v>次</v>
      </c>
      <c r="D576" s="1" t="str">
        <f>"次"</f>
        <v>次</v>
      </c>
      <c r="E576" s="1" t="str">
        <f t="shared" si="140"/>
        <v>检验费</v>
      </c>
    </row>
    <row r="577" spans="1:5">
      <c r="A577" s="1" t="str">
        <f>"一般细菌培养及鉴定"</f>
        <v>一般细菌培养及鉴定</v>
      </c>
      <c r="B577" s="1">
        <v>20</v>
      </c>
      <c r="C577" s="1" t="str">
        <f t="shared" ref="C577:C590" si="156">"项"</f>
        <v>项</v>
      </c>
      <c r="D577" s="1" t="str">
        <f t="shared" ref="D577:D590" si="157">"项"</f>
        <v>项</v>
      </c>
      <c r="E577" s="1" t="str">
        <f t="shared" si="140"/>
        <v>检验费</v>
      </c>
    </row>
    <row r="578" spans="1:5">
      <c r="A578" s="1" t="str">
        <f>"细菌培养及鉴定（仪器法）"</f>
        <v>细菌培养及鉴定（仪器法）</v>
      </c>
      <c r="B578" s="1">
        <v>100</v>
      </c>
      <c r="C578" s="1" t="str">
        <f>"-"</f>
        <v>-</v>
      </c>
      <c r="D578" s="1" t="str">
        <f>"次"</f>
        <v>次</v>
      </c>
      <c r="E578" s="1" t="str">
        <f t="shared" si="140"/>
        <v>检验费</v>
      </c>
    </row>
    <row r="579" spans="1:5">
      <c r="A579" s="1" t="str">
        <f>"尿培养加菌落计数"</f>
        <v>尿培养加菌落计数</v>
      </c>
      <c r="B579" s="1">
        <v>30</v>
      </c>
      <c r="C579" s="1" t="str">
        <f>"-"</f>
        <v>-</v>
      </c>
      <c r="D579" s="1" t="str">
        <f t="shared" si="157"/>
        <v>项</v>
      </c>
      <c r="E579" s="1" t="str">
        <f t="shared" si="140"/>
        <v>检验费</v>
      </c>
    </row>
    <row r="580" spans="1:5">
      <c r="A580" s="1" t="str">
        <f>"血培养及鉴定"</f>
        <v>血培养及鉴定</v>
      </c>
      <c r="B580" s="1">
        <v>100</v>
      </c>
      <c r="C580" s="1" t="str">
        <f t="shared" si="156"/>
        <v>项</v>
      </c>
      <c r="D580" s="1" t="str">
        <f t="shared" si="157"/>
        <v>项</v>
      </c>
      <c r="E580" s="1" t="str">
        <f t="shared" si="140"/>
        <v>检验费</v>
      </c>
    </row>
    <row r="581" spans="1:5">
      <c r="A581" s="1" t="str">
        <f>"嗜血杆菌培养"</f>
        <v>嗜血杆菌培养</v>
      </c>
      <c r="B581" s="1">
        <v>20</v>
      </c>
      <c r="C581" s="1" t="str">
        <f t="shared" si="156"/>
        <v>项</v>
      </c>
      <c r="D581" s="1" t="str">
        <f t="shared" si="157"/>
        <v>项</v>
      </c>
      <c r="E581" s="1" t="str">
        <f t="shared" si="140"/>
        <v>检验费</v>
      </c>
    </row>
    <row r="582" spans="1:5">
      <c r="A582" s="1" t="str">
        <f>"霍乱弧菌培养"</f>
        <v>霍乱弧菌培养</v>
      </c>
      <c r="B582" s="1">
        <v>20</v>
      </c>
      <c r="C582" s="1" t="str">
        <f t="shared" si="156"/>
        <v>项</v>
      </c>
      <c r="D582" s="1" t="str">
        <f t="shared" si="157"/>
        <v>项</v>
      </c>
      <c r="E582" s="1" t="str">
        <f t="shared" si="140"/>
        <v>检验费</v>
      </c>
    </row>
    <row r="583" spans="1:5">
      <c r="A583" s="1" t="str">
        <f>"幽门螺杆菌培养及鉴定"</f>
        <v>幽门螺杆菌培养及鉴定</v>
      </c>
      <c r="B583" s="1">
        <v>40</v>
      </c>
      <c r="C583" s="1" t="str">
        <f t="shared" si="156"/>
        <v>项</v>
      </c>
      <c r="D583" s="1" t="str">
        <f t="shared" si="157"/>
        <v>项</v>
      </c>
      <c r="E583" s="1" t="str">
        <f t="shared" si="140"/>
        <v>检验费</v>
      </c>
    </row>
    <row r="584" spans="1:5">
      <c r="A584" s="1" t="str">
        <f>"沙门菌、志贺菌培养及鉴定"</f>
        <v>沙门菌、志贺菌培养及鉴定</v>
      </c>
      <c r="B584" s="1">
        <v>20</v>
      </c>
      <c r="C584" s="1" t="str">
        <f t="shared" si="156"/>
        <v>项</v>
      </c>
      <c r="D584" s="1" t="str">
        <f t="shared" si="157"/>
        <v>项</v>
      </c>
      <c r="E584" s="1" t="str">
        <f t="shared" si="140"/>
        <v>检验费</v>
      </c>
    </row>
    <row r="585" spans="1:5">
      <c r="A585" s="1" t="str">
        <f>"真菌涂片检查"</f>
        <v>真菌涂片检查</v>
      </c>
      <c r="B585" s="1">
        <v>5</v>
      </c>
      <c r="C585" s="1" t="str">
        <f t="shared" si="156"/>
        <v>项</v>
      </c>
      <c r="D585" s="1" t="str">
        <f t="shared" si="157"/>
        <v>项</v>
      </c>
      <c r="E585" s="1" t="str">
        <f t="shared" si="140"/>
        <v>检验费</v>
      </c>
    </row>
    <row r="586" spans="1:5">
      <c r="A586" s="1" t="str">
        <f>"真菌培养及鉴定"</f>
        <v>真菌培养及鉴定</v>
      </c>
      <c r="B586" s="1">
        <v>25</v>
      </c>
      <c r="C586" s="1" t="str">
        <f t="shared" si="156"/>
        <v>项</v>
      </c>
      <c r="D586" s="1" t="str">
        <f t="shared" si="157"/>
        <v>项</v>
      </c>
      <c r="E586" s="1" t="str">
        <f t="shared" si="140"/>
        <v>检验费</v>
      </c>
    </row>
    <row r="587" spans="1:5">
      <c r="A587" s="1" t="str">
        <f>"支原体检查"</f>
        <v>支原体检查</v>
      </c>
      <c r="B587" s="1">
        <v>70</v>
      </c>
      <c r="C587" s="1" t="str">
        <f t="shared" si="156"/>
        <v>项</v>
      </c>
      <c r="D587" s="1" t="str">
        <f t="shared" si="157"/>
        <v>项</v>
      </c>
      <c r="E587" s="1" t="str">
        <f t="shared" si="140"/>
        <v>检验费</v>
      </c>
    </row>
    <row r="588" spans="1:5">
      <c r="A588" s="1" t="str">
        <f>"轮状病毒检测免疫学法"</f>
        <v>轮状病毒检测免疫学法</v>
      </c>
      <c r="B588" s="1">
        <v>15</v>
      </c>
      <c r="C588" s="1" t="str">
        <f t="shared" si="156"/>
        <v>项</v>
      </c>
      <c r="D588" s="1" t="str">
        <f t="shared" si="157"/>
        <v>项</v>
      </c>
      <c r="E588" s="1" t="str">
        <f t="shared" si="140"/>
        <v>检验费</v>
      </c>
    </row>
    <row r="589" spans="1:5">
      <c r="A589" s="1" t="str">
        <f>"轮状病毒检测（酶联免疫法、金标法）"</f>
        <v>轮状病毒检测（酶联免疫法、金标法）</v>
      </c>
      <c r="B589" s="1">
        <v>45</v>
      </c>
      <c r="C589" s="1" t="str">
        <f t="shared" si="156"/>
        <v>项</v>
      </c>
      <c r="D589" s="1" t="str">
        <f t="shared" si="157"/>
        <v>项</v>
      </c>
      <c r="E589" s="1" t="str">
        <f t="shared" si="140"/>
        <v>检验费</v>
      </c>
    </row>
    <row r="590" spans="1:5">
      <c r="A590" s="1" t="str">
        <f>"轮状病毒检测凝集法"</f>
        <v>轮状病毒检测凝集法</v>
      </c>
      <c r="B590" s="1">
        <v>7</v>
      </c>
      <c r="C590" s="1" t="str">
        <f t="shared" si="156"/>
        <v>项</v>
      </c>
      <c r="D590" s="1" t="str">
        <f t="shared" si="157"/>
        <v>项</v>
      </c>
      <c r="E590" s="1" t="str">
        <f t="shared" si="140"/>
        <v>检验费</v>
      </c>
    </row>
    <row r="591" spans="1:5">
      <c r="A591" s="1" t="str">
        <f>"常规药敏定性试验手工法"</f>
        <v>常规药敏定性试验手工法</v>
      </c>
      <c r="B591" s="1">
        <v>20</v>
      </c>
      <c r="C591" s="1" t="str">
        <f t="shared" ref="C591:C597" si="158">"次"</f>
        <v>次</v>
      </c>
      <c r="D591" s="1" t="str">
        <f t="shared" ref="D591:D597" si="159">"次"</f>
        <v>次</v>
      </c>
      <c r="E591" s="1" t="str">
        <f t="shared" si="140"/>
        <v>检验费</v>
      </c>
    </row>
    <row r="592" spans="1:5">
      <c r="A592" s="1" t="str">
        <f>"常规药敏定性试验（仪器法）"</f>
        <v>常规药敏定性试验（仪器法）</v>
      </c>
      <c r="B592" s="1">
        <v>60</v>
      </c>
      <c r="C592" s="1" t="str">
        <f t="shared" si="158"/>
        <v>次</v>
      </c>
      <c r="D592" s="1" t="str">
        <f t="shared" si="159"/>
        <v>次</v>
      </c>
      <c r="E592" s="1" t="str">
        <f t="shared" si="140"/>
        <v>检验费</v>
      </c>
    </row>
    <row r="593" spans="1:5">
      <c r="A593" s="1" t="str">
        <f>"细菌毒素测定"</f>
        <v>细菌毒素测定</v>
      </c>
      <c r="B593" s="1">
        <v>35</v>
      </c>
      <c r="C593" s="1" t="str">
        <f t="shared" ref="C593:C599" si="160">"项"</f>
        <v>项</v>
      </c>
      <c r="D593" s="1" t="str">
        <f t="shared" ref="D593:D599" si="161">"项"</f>
        <v>项</v>
      </c>
      <c r="E593" s="1" t="str">
        <f t="shared" ref="E593:E609" si="162">"检验费"</f>
        <v>检验费</v>
      </c>
    </row>
    <row r="594" spans="1:5">
      <c r="A594" s="1" t="str">
        <f>"病原体乳胶凝集试验快速检测"</f>
        <v>病原体乳胶凝集试验快速检测</v>
      </c>
      <c r="B594" s="1">
        <v>60</v>
      </c>
      <c r="C594" s="1" t="str">
        <f t="shared" si="160"/>
        <v>项</v>
      </c>
      <c r="D594" s="1" t="str">
        <f t="shared" si="161"/>
        <v>项</v>
      </c>
      <c r="E594" s="1" t="str">
        <f t="shared" si="162"/>
        <v>检验费</v>
      </c>
    </row>
    <row r="595" spans="1:5">
      <c r="A595" s="1" t="str">
        <f>"粪寄生虫镜检"</f>
        <v>粪寄生虫镜检</v>
      </c>
      <c r="B595" s="1">
        <v>2</v>
      </c>
      <c r="C595" s="1" t="str">
        <f>"-"</f>
        <v>-</v>
      </c>
      <c r="D595" s="1" t="str">
        <f t="shared" si="159"/>
        <v>次</v>
      </c>
      <c r="E595" s="1" t="str">
        <f t="shared" si="162"/>
        <v>检验费</v>
      </c>
    </row>
    <row r="596" spans="1:5">
      <c r="A596" s="1" t="str">
        <f>"粪寄生虫卵集卵镜检"</f>
        <v>粪寄生虫卵集卵镜检</v>
      </c>
      <c r="B596" s="1">
        <v>1</v>
      </c>
      <c r="C596" s="1" t="str">
        <f t="shared" si="158"/>
        <v>次</v>
      </c>
      <c r="D596" s="1" t="str">
        <f t="shared" si="159"/>
        <v>次</v>
      </c>
      <c r="E596" s="1" t="str">
        <f t="shared" si="162"/>
        <v>检验费</v>
      </c>
    </row>
    <row r="597" spans="1:5">
      <c r="A597" s="1" t="str">
        <f>"粪寄生虫卵计数"</f>
        <v>粪寄生虫卵计数</v>
      </c>
      <c r="B597" s="1">
        <v>2</v>
      </c>
      <c r="C597" s="1" t="str">
        <f t="shared" si="158"/>
        <v>次</v>
      </c>
      <c r="D597" s="1" t="str">
        <f t="shared" si="159"/>
        <v>次</v>
      </c>
      <c r="E597" s="1" t="str">
        <f t="shared" si="162"/>
        <v>检验费</v>
      </c>
    </row>
    <row r="598" spans="1:5">
      <c r="A598" s="1" t="str">
        <f>"血液疟原虫检查"</f>
        <v>血液疟原虫检查</v>
      </c>
      <c r="B598" s="1" t="str">
        <f>"0"</f>
        <v>0</v>
      </c>
      <c r="C598" s="1" t="str">
        <f t="shared" si="160"/>
        <v>项</v>
      </c>
      <c r="D598" s="1" t="str">
        <f t="shared" si="161"/>
        <v>项</v>
      </c>
      <c r="E598" s="1" t="str">
        <f t="shared" si="162"/>
        <v>检验费</v>
      </c>
    </row>
    <row r="599" spans="1:5">
      <c r="A599" s="1" t="str">
        <f>"血液微丝蚴检查"</f>
        <v>血液微丝蚴检查</v>
      </c>
      <c r="B599" s="1">
        <v>1</v>
      </c>
      <c r="C599" s="1" t="str">
        <f t="shared" si="160"/>
        <v>项</v>
      </c>
      <c r="D599" s="1" t="str">
        <f t="shared" si="161"/>
        <v>项</v>
      </c>
      <c r="E599" s="1" t="str">
        <f t="shared" si="162"/>
        <v>检验费</v>
      </c>
    </row>
    <row r="600" spans="1:5">
      <c r="A600" s="1" t="str">
        <f>"唐氏综合症筛查及唐氏综合症风险率计算"</f>
        <v>唐氏综合症筛查及唐氏综合症风险率计算</v>
      </c>
      <c r="B600" s="1">
        <v>110</v>
      </c>
      <c r="C600" s="1" t="str">
        <f t="shared" ref="C600:C605" si="163">"次"</f>
        <v>次</v>
      </c>
      <c r="D600" s="1" t="str">
        <f t="shared" ref="D600:D605" si="164">"次"</f>
        <v>次</v>
      </c>
      <c r="E600" s="1" t="str">
        <f t="shared" si="162"/>
        <v>检验费</v>
      </c>
    </row>
    <row r="601" spans="1:5">
      <c r="A601" s="1" t="str">
        <f>"ABO血型鉴定"</f>
        <v>ABO血型鉴定</v>
      </c>
      <c r="B601" s="1">
        <v>8</v>
      </c>
      <c r="C601" s="1" t="str">
        <f t="shared" si="163"/>
        <v>次</v>
      </c>
      <c r="D601" s="1" t="str">
        <f t="shared" si="164"/>
        <v>次</v>
      </c>
      <c r="E601" s="1" t="str">
        <f t="shared" si="162"/>
        <v>检验费</v>
      </c>
    </row>
    <row r="602" spans="1:5">
      <c r="A602" s="1" t="str">
        <f>"ABO.RHD血型鉴定"</f>
        <v>ABO.RHD血型鉴定</v>
      </c>
      <c r="B602" s="1">
        <v>65</v>
      </c>
      <c r="C602" s="1">
        <v>1</v>
      </c>
      <c r="D602" s="1" t="str">
        <f>"每次"</f>
        <v>每次</v>
      </c>
      <c r="E602" s="1" t="str">
        <f t="shared" si="162"/>
        <v>检验费</v>
      </c>
    </row>
    <row r="603" spans="1:5">
      <c r="A603" s="1" t="str">
        <f>"Rh血型鉴定"</f>
        <v>Rh血型鉴定</v>
      </c>
      <c r="B603" s="1">
        <v>10</v>
      </c>
      <c r="C603" s="1" t="str">
        <f t="shared" si="163"/>
        <v>次</v>
      </c>
      <c r="D603" s="1" t="str">
        <f t="shared" si="164"/>
        <v>次</v>
      </c>
      <c r="E603" s="1" t="str">
        <f t="shared" si="162"/>
        <v>检验费</v>
      </c>
    </row>
    <row r="604" spans="1:5">
      <c r="A604" s="1" t="str">
        <f>"Rh血型其他抗原鉴定"</f>
        <v>Rh血型其他抗原鉴定</v>
      </c>
      <c r="B604" s="1">
        <v>1</v>
      </c>
      <c r="C604" s="1" t="str">
        <f t="shared" si="163"/>
        <v>次</v>
      </c>
      <c r="D604" s="1" t="str">
        <f t="shared" si="164"/>
        <v>次</v>
      </c>
      <c r="E604" s="1" t="str">
        <f t="shared" si="162"/>
        <v>检验费</v>
      </c>
    </row>
    <row r="605" spans="1:5">
      <c r="A605" s="1" t="str">
        <f>"血型抗体特异性鉴定"</f>
        <v>血型抗体特异性鉴定</v>
      </c>
      <c r="B605" s="1">
        <v>80</v>
      </c>
      <c r="C605" s="1" t="str">
        <f t="shared" si="163"/>
        <v>次</v>
      </c>
      <c r="D605" s="1" t="str">
        <f t="shared" si="164"/>
        <v>次</v>
      </c>
      <c r="E605" s="1" t="str">
        <f t="shared" si="162"/>
        <v>检验费</v>
      </c>
    </row>
    <row r="606" spans="1:5">
      <c r="A606" s="1" t="str">
        <f>"lgG抗B 效价测定"</f>
        <v>lgG抗B 效价测定</v>
      </c>
      <c r="B606" s="1">
        <v>50</v>
      </c>
      <c r="C606" s="1" t="str">
        <f>"项"</f>
        <v>项</v>
      </c>
      <c r="D606" s="1" t="str">
        <f>"项"</f>
        <v>项</v>
      </c>
      <c r="E606" s="1" t="str">
        <f t="shared" si="162"/>
        <v>检验费</v>
      </c>
    </row>
    <row r="607" spans="1:5">
      <c r="A607" s="1" t="str">
        <f>"盐水介质交差配血"</f>
        <v>盐水介质交差配血</v>
      </c>
      <c r="B607" s="1">
        <v>1</v>
      </c>
      <c r="C607" s="1">
        <v>1</v>
      </c>
      <c r="D607" s="1" t="str">
        <f t="shared" ref="D607:D609" si="165">"次"</f>
        <v>次</v>
      </c>
      <c r="E607" s="1" t="str">
        <f t="shared" si="162"/>
        <v>检验费</v>
      </c>
    </row>
    <row r="608" spans="1:5">
      <c r="A608" s="1" t="str">
        <f>"疑难交叉配血"</f>
        <v>疑难交叉配血</v>
      </c>
      <c r="B608" s="1">
        <v>30</v>
      </c>
      <c r="C608" s="1" t="str">
        <f>"次"</f>
        <v>次</v>
      </c>
      <c r="D608" s="1" t="str">
        <f t="shared" si="165"/>
        <v>次</v>
      </c>
      <c r="E608" s="1" t="str">
        <f t="shared" si="162"/>
        <v>检验费</v>
      </c>
    </row>
    <row r="609" spans="1:5">
      <c r="A609" s="1" t="str">
        <f>"淋巴细胞毒试验"</f>
        <v>淋巴细胞毒试验</v>
      </c>
      <c r="B609" s="1">
        <v>30</v>
      </c>
      <c r="C609" s="1" t="str">
        <f>"次"</f>
        <v>次</v>
      </c>
      <c r="D609" s="1" t="str">
        <f t="shared" si="165"/>
        <v>次</v>
      </c>
      <c r="E609" s="1" t="str">
        <f t="shared" si="162"/>
        <v>检验费</v>
      </c>
    </row>
    <row r="610" spans="1:5">
      <c r="A610" s="1" t="str">
        <f>"脱落细胞学检查与诊断"</f>
        <v>脱落细胞学检查与诊断</v>
      </c>
      <c r="B610" s="1">
        <v>105</v>
      </c>
      <c r="C610" s="1" t="str">
        <f>"例"</f>
        <v>例</v>
      </c>
      <c r="D610" s="1" t="str">
        <f t="shared" ref="D610:D618" si="166">"例"</f>
        <v>例</v>
      </c>
      <c r="E610" s="1" t="str">
        <f t="shared" ref="E610:E626" si="167">"病理检查"</f>
        <v>病理检查</v>
      </c>
    </row>
    <row r="611" spans="1:5">
      <c r="A611" s="1" t="str">
        <f>"脱落细胞学检查与诊断(宫颈)"</f>
        <v>脱落细胞学检查与诊断(宫颈)</v>
      </c>
      <c r="B611" s="1">
        <v>105</v>
      </c>
      <c r="C611" s="1" t="str">
        <f>"例"</f>
        <v>例</v>
      </c>
      <c r="D611" s="1" t="str">
        <f t="shared" si="166"/>
        <v>例</v>
      </c>
      <c r="E611" s="1" t="str">
        <f t="shared" si="167"/>
        <v>病理检查</v>
      </c>
    </row>
    <row r="612" spans="1:5">
      <c r="A612" s="1" t="str">
        <f>"脱落细胞学检查与诊断(口腔粘液涂片)"</f>
        <v>脱落细胞学检查与诊断(口腔粘液涂片)</v>
      </c>
      <c r="B612" s="1">
        <v>105</v>
      </c>
      <c r="C612" s="1">
        <v>1</v>
      </c>
      <c r="D612" s="1" t="str">
        <f t="shared" si="166"/>
        <v>例</v>
      </c>
      <c r="E612" s="1" t="str">
        <f t="shared" si="167"/>
        <v>病理检查</v>
      </c>
    </row>
    <row r="613" spans="1:5">
      <c r="A613" s="1" t="str">
        <f>"脱落细胞学检查与诊断(窥镜刷片)"</f>
        <v>脱落细胞学检查与诊断(窥镜刷片)</v>
      </c>
      <c r="B613" s="1">
        <v>105</v>
      </c>
      <c r="C613" s="1">
        <v>1</v>
      </c>
      <c r="D613" s="1" t="str">
        <f t="shared" si="166"/>
        <v>例</v>
      </c>
      <c r="E613" s="1" t="str">
        <f t="shared" si="167"/>
        <v>病理检查</v>
      </c>
    </row>
    <row r="614" spans="1:5">
      <c r="A614" s="1" t="str">
        <f>"脱落细胞学检查与诊断(乳腺溢液)"</f>
        <v>脱落细胞学检查与诊断(乳腺溢液)</v>
      </c>
      <c r="B614" s="1">
        <v>105</v>
      </c>
      <c r="C614" s="1">
        <v>1</v>
      </c>
      <c r="D614" s="1" t="str">
        <f t="shared" si="166"/>
        <v>例</v>
      </c>
      <c r="E614" s="1" t="str">
        <f t="shared" si="167"/>
        <v>病理检查</v>
      </c>
    </row>
    <row r="615" spans="1:5">
      <c r="A615" s="1" t="str">
        <f>"脱落细胞学检查与诊断(痰)"</f>
        <v>脱落细胞学检查与诊断(痰)</v>
      </c>
      <c r="B615" s="1">
        <v>105</v>
      </c>
      <c r="C615" s="1">
        <v>1</v>
      </c>
      <c r="D615" s="1" t="str">
        <f t="shared" si="166"/>
        <v>例</v>
      </c>
      <c r="E615" s="1" t="str">
        <f t="shared" si="167"/>
        <v>病理检查</v>
      </c>
    </row>
    <row r="616" spans="1:5">
      <c r="A616" s="1" t="str">
        <f>"脱落细胞学检查与诊断(阴道)"</f>
        <v>脱落细胞学检查与诊断(阴道)</v>
      </c>
      <c r="B616" s="1">
        <v>105</v>
      </c>
      <c r="C616" s="1">
        <v>1</v>
      </c>
      <c r="D616" s="1" t="str">
        <f t="shared" si="166"/>
        <v>例</v>
      </c>
      <c r="E616" s="1" t="str">
        <f t="shared" si="167"/>
        <v>病理检查</v>
      </c>
    </row>
    <row r="617" spans="1:5">
      <c r="A617" s="1" t="str">
        <f>"脱落细胞学检查与诊断(子宫内膜)"</f>
        <v>脱落细胞学检查与诊断(子宫内膜)</v>
      </c>
      <c r="B617" s="1">
        <v>105</v>
      </c>
      <c r="C617" s="1">
        <v>1</v>
      </c>
      <c r="D617" s="1" t="str">
        <f t="shared" si="166"/>
        <v>例</v>
      </c>
      <c r="E617" s="1" t="str">
        <f t="shared" si="167"/>
        <v>病理检查</v>
      </c>
    </row>
    <row r="618" spans="1:5">
      <c r="A618" s="1" t="str">
        <f>"内镜组织活检检查与诊断"</f>
        <v>内镜组织活检检查与诊断</v>
      </c>
      <c r="B618" s="1">
        <v>122</v>
      </c>
      <c r="C618" s="1" t="str">
        <f>"例"</f>
        <v>例</v>
      </c>
      <c r="D618" s="1" t="str">
        <f t="shared" si="166"/>
        <v>例</v>
      </c>
      <c r="E618" s="1" t="str">
        <f t="shared" si="167"/>
        <v>病理检查</v>
      </c>
    </row>
    <row r="619" spans="1:5">
      <c r="A619" s="1" t="str">
        <f>"内镜组织活检检查与诊断每增加一张切片加收"</f>
        <v>内镜组织活检检查与诊断每增加一张切片加收</v>
      </c>
      <c r="B619" s="1">
        <v>30</v>
      </c>
      <c r="C619" s="1" t="str">
        <f>"张"</f>
        <v>张</v>
      </c>
      <c r="D619" s="1" t="str">
        <f>"张"</f>
        <v>张</v>
      </c>
      <c r="E619" s="1" t="str">
        <f t="shared" si="167"/>
        <v>病理检查</v>
      </c>
    </row>
    <row r="620" spans="1:5">
      <c r="A620" s="1" t="str">
        <f>"局部切除组织活检检查与诊断"</f>
        <v>局部切除组织活检检查与诊断</v>
      </c>
      <c r="B620" s="1">
        <v>159</v>
      </c>
      <c r="C620" s="1" t="str">
        <f>"每个部位"</f>
        <v>每个部位</v>
      </c>
      <c r="D620" s="1" t="str">
        <f>"每个部位"</f>
        <v>每个部位</v>
      </c>
      <c r="E620" s="1" t="str">
        <f t="shared" si="167"/>
        <v>病理检查</v>
      </c>
    </row>
    <row r="621" spans="1:5">
      <c r="A621" s="1" t="str">
        <f>"手术标本检查与诊断"</f>
        <v>手术标本检查与诊断</v>
      </c>
      <c r="B621" s="1">
        <v>160</v>
      </c>
      <c r="C621" s="1" t="str">
        <f>"例"</f>
        <v>例</v>
      </c>
      <c r="D621" s="1" t="str">
        <f>"例"</f>
        <v>例</v>
      </c>
      <c r="E621" s="1" t="str">
        <f t="shared" si="167"/>
        <v>病理检查</v>
      </c>
    </row>
    <row r="622" spans="1:5">
      <c r="A622" s="1" t="str">
        <f>"手术标本检查与诊断超过基价每个加收"</f>
        <v>手术标本检查与诊断超过基价每个加收</v>
      </c>
      <c r="B622" s="1">
        <v>10</v>
      </c>
      <c r="C622" s="1" t="str">
        <f>"个"</f>
        <v>个</v>
      </c>
      <c r="D622" s="1" t="str">
        <f>"个"</f>
        <v>个</v>
      </c>
      <c r="E622" s="1" t="str">
        <f t="shared" si="167"/>
        <v>病理检查</v>
      </c>
    </row>
    <row r="623" spans="1:5">
      <c r="A623" s="1" t="str">
        <f>"特殊染色及酶组织化学染色诊断"</f>
        <v>特殊染色及酶组织化学染色诊断</v>
      </c>
      <c r="B623" s="1">
        <v>80</v>
      </c>
      <c r="C623" s="1" t="str">
        <f t="shared" ref="C623:C626" si="168">"次"</f>
        <v>次</v>
      </c>
      <c r="D623" s="1" t="str">
        <f t="shared" ref="D623:D626" si="169">"次"</f>
        <v>次</v>
      </c>
      <c r="E623" s="1" t="str">
        <f t="shared" si="167"/>
        <v>病理检查</v>
      </c>
    </row>
    <row r="624" spans="1:5">
      <c r="A624" s="1" t="str">
        <f>"免疫组织化学染色诊断"</f>
        <v>免疫组织化学染色诊断</v>
      </c>
      <c r="B624" s="1">
        <v>80</v>
      </c>
      <c r="C624" s="1" t="str">
        <f t="shared" si="168"/>
        <v>次</v>
      </c>
      <c r="D624" s="1" t="str">
        <f t="shared" si="169"/>
        <v>次</v>
      </c>
      <c r="E624" s="1" t="str">
        <f t="shared" si="167"/>
        <v>病理检查</v>
      </c>
    </row>
    <row r="625" spans="1:5">
      <c r="A625" s="1" t="str">
        <f>"全自动免疫组织化学染色快速诊断"</f>
        <v>全自动免疫组织化学染色快速诊断</v>
      </c>
      <c r="B625" s="1">
        <v>150</v>
      </c>
      <c r="C625" s="1" t="str">
        <f>"项"</f>
        <v>项</v>
      </c>
      <c r="D625" s="1" t="str">
        <f>"项"</f>
        <v>项</v>
      </c>
      <c r="E625" s="1" t="str">
        <f t="shared" si="167"/>
        <v>病理检查</v>
      </c>
    </row>
    <row r="626" spans="1:5">
      <c r="A626" s="1" t="str">
        <f>"免疫荧光染色诊断"</f>
        <v>免疫荧光染色诊断</v>
      </c>
      <c r="B626" s="1">
        <v>70</v>
      </c>
      <c r="C626" s="1" t="str">
        <f t="shared" si="168"/>
        <v>次</v>
      </c>
      <c r="D626" s="1" t="str">
        <f t="shared" si="169"/>
        <v>次</v>
      </c>
      <c r="E626" s="1" t="str">
        <f t="shared" si="167"/>
        <v>病理检查</v>
      </c>
    </row>
    <row r="627" spans="1:5">
      <c r="A627" s="1" t="str">
        <f>"脱氧核糖核酸(DNA)测序"</f>
        <v>脱氧核糖核酸(DNA)测序</v>
      </c>
      <c r="B627" s="1">
        <v>400</v>
      </c>
      <c r="C627" s="1" t="str">
        <f>"项"</f>
        <v>项</v>
      </c>
      <c r="D627" s="1" t="str">
        <f>"项"</f>
        <v>项</v>
      </c>
      <c r="E627" s="1" t="str">
        <f>"检验费"</f>
        <v>检验费</v>
      </c>
    </row>
    <row r="628" spans="1:5">
      <c r="A628" s="1" t="str">
        <f>"细胞/组织人乳头瘤病毒（HPV)L1衣壳蛋白检测"</f>
        <v>细胞/组织人乳头瘤病毒（HPV)L1衣壳蛋白检测</v>
      </c>
      <c r="B628" s="1">
        <v>320</v>
      </c>
      <c r="C628" s="1" t="str">
        <f>"例"</f>
        <v>例</v>
      </c>
      <c r="D628" s="1" t="str">
        <f>"例"</f>
        <v>例</v>
      </c>
      <c r="E628" s="1" t="str">
        <f t="shared" ref="E628:E633" si="170">"病理检查"</f>
        <v>病理检查</v>
      </c>
    </row>
    <row r="629" spans="1:5">
      <c r="A629" s="1" t="str">
        <f>"宫颈癌全自动辅助筛查"</f>
        <v>宫颈癌全自动辅助筛查</v>
      </c>
      <c r="B629" s="1">
        <v>90</v>
      </c>
      <c r="C629" s="1" t="str">
        <f t="shared" ref="C629:C631" si="171">"次"</f>
        <v>次</v>
      </c>
      <c r="D629" s="1" t="str">
        <f t="shared" ref="D629:D633" si="172">"次"</f>
        <v>次</v>
      </c>
      <c r="E629" s="1" t="str">
        <f t="shared" si="170"/>
        <v>病理检查</v>
      </c>
    </row>
    <row r="630" spans="1:5">
      <c r="A630" s="1" t="str">
        <f>"显微摄影术"</f>
        <v>显微摄影术</v>
      </c>
      <c r="B630" s="1">
        <v>20</v>
      </c>
      <c r="C630" s="1" t="str">
        <f t="shared" si="171"/>
        <v>次</v>
      </c>
      <c r="D630" s="1" t="str">
        <f t="shared" si="172"/>
        <v>次</v>
      </c>
      <c r="E630" s="1" t="str">
        <f>"治疗费"</f>
        <v>治疗费</v>
      </c>
    </row>
    <row r="631" spans="1:5">
      <c r="A631" s="1" t="str">
        <f>"病理图文报告"</f>
        <v>病理图文报告</v>
      </c>
      <c r="B631" s="1">
        <v>30</v>
      </c>
      <c r="C631" s="1" t="str">
        <f t="shared" si="171"/>
        <v>次</v>
      </c>
      <c r="D631" s="1" t="str">
        <f t="shared" si="172"/>
        <v>次</v>
      </c>
      <c r="E631" s="1" t="str">
        <f t="shared" si="170"/>
        <v>病理检查</v>
      </c>
    </row>
    <row r="632" spans="1:5">
      <c r="A632" s="1" t="str">
        <f>"膜式病变细胞采集术"</f>
        <v>膜式病变细胞采集术</v>
      </c>
      <c r="B632" s="1">
        <v>100</v>
      </c>
      <c r="C632" s="1">
        <v>1</v>
      </c>
      <c r="D632" s="1" t="str">
        <f t="shared" si="172"/>
        <v>次</v>
      </c>
      <c r="E632" s="1" t="str">
        <f t="shared" si="170"/>
        <v>病理检查</v>
      </c>
    </row>
    <row r="633" spans="1:5">
      <c r="A633" s="1" t="str">
        <f>"液基薄层细胞制片术(TCT)"</f>
        <v>液基薄层细胞制片术(TCT)</v>
      </c>
      <c r="B633" s="1">
        <v>155</v>
      </c>
      <c r="C633" s="1" t="str">
        <f>"-"</f>
        <v>-</v>
      </c>
      <c r="D633" s="1" t="str">
        <f t="shared" si="172"/>
        <v>次</v>
      </c>
      <c r="E633" s="1" t="str">
        <f t="shared" si="170"/>
        <v>病理检查</v>
      </c>
    </row>
    <row r="634" spans="1:5">
      <c r="A634" s="1" t="str">
        <f>"氩气刀治疗加收"</f>
        <v>氩气刀治疗加收</v>
      </c>
      <c r="B634" s="1">
        <v>100</v>
      </c>
      <c r="C634" s="1" t="str">
        <f>"次"</f>
        <v>次</v>
      </c>
      <c r="D634" s="1" t="str">
        <f t="shared" ref="D634:D637" si="173">"次"</f>
        <v>次</v>
      </c>
      <c r="E634" s="1" t="str">
        <f>"治疗费"</f>
        <v>治疗费</v>
      </c>
    </row>
    <row r="635" spans="1:5">
      <c r="A635" s="1" t="str">
        <f>"神经传导速度测定"</f>
        <v>神经传导速度测定</v>
      </c>
      <c r="B635" s="1">
        <v>65</v>
      </c>
      <c r="C635" s="1" t="str">
        <f>"项"</f>
        <v>项</v>
      </c>
      <c r="D635" s="1" t="str">
        <f>"每条神经"</f>
        <v>每条神经</v>
      </c>
      <c r="E635" s="1" t="str">
        <f t="shared" ref="E635:E639" si="174">"检查费"</f>
        <v>检查费</v>
      </c>
    </row>
    <row r="636" spans="1:5">
      <c r="A636" s="1" t="str">
        <f>"感觉阈值测量"</f>
        <v>感觉阈值测量</v>
      </c>
      <c r="B636" s="1">
        <v>26</v>
      </c>
      <c r="C636" s="1" t="str">
        <f>"-"</f>
        <v>-</v>
      </c>
      <c r="D636" s="1" t="str">
        <f t="shared" si="173"/>
        <v>次</v>
      </c>
      <c r="E636" s="1" t="str">
        <f t="shared" si="174"/>
        <v>检查费</v>
      </c>
    </row>
    <row r="637" spans="1:5">
      <c r="A637" s="1" t="str">
        <f>"腰椎穿刺术"</f>
        <v>腰椎穿刺术</v>
      </c>
      <c r="B637" s="1">
        <v>104</v>
      </c>
      <c r="C637" s="1" t="str">
        <f t="shared" ref="C637:C642" si="175">"次"</f>
        <v>次</v>
      </c>
      <c r="D637" s="1" t="str">
        <f t="shared" si="173"/>
        <v>次</v>
      </c>
      <c r="E637" s="1" t="str">
        <f t="shared" ref="E637:E642" si="176">"治疗费"</f>
        <v>治疗费</v>
      </c>
    </row>
    <row r="638" spans="1:5">
      <c r="A638" s="1" t="str">
        <f>"肌电图"</f>
        <v>肌电图</v>
      </c>
      <c r="B638" s="1">
        <v>45</v>
      </c>
      <c r="C638" s="1">
        <v>1</v>
      </c>
      <c r="D638" s="1" t="str">
        <f>"次和一条肌"</f>
        <v>次和一条肌</v>
      </c>
      <c r="E638" s="1" t="str">
        <f t="shared" si="174"/>
        <v>检查费</v>
      </c>
    </row>
    <row r="639" spans="1:5">
      <c r="A639" s="1" t="str">
        <f>"单纤维肌电图"</f>
        <v>单纤维肌电图</v>
      </c>
      <c r="B639" s="1">
        <v>65</v>
      </c>
      <c r="C639" s="1">
        <v>1</v>
      </c>
      <c r="D639" s="1" t="str">
        <f>"每根"</f>
        <v>每根</v>
      </c>
      <c r="E639" s="1" t="str">
        <f t="shared" si="174"/>
        <v>检查费</v>
      </c>
    </row>
    <row r="640" spans="1:5">
      <c r="A640" s="1" t="str">
        <f>"肌电图监测"</f>
        <v>肌电图监测</v>
      </c>
      <c r="B640" s="1">
        <v>26</v>
      </c>
      <c r="C640" s="1" t="str">
        <f>"每条肌肉"</f>
        <v>每条肌肉</v>
      </c>
      <c r="D640" s="1" t="str">
        <f>"次和一条肌"</f>
        <v>次和一条肌</v>
      </c>
      <c r="E640" s="1" t="str">
        <f t="shared" si="176"/>
        <v>治疗费</v>
      </c>
    </row>
    <row r="641" spans="1:5">
      <c r="A641" s="1" t="str">
        <f>"神经阻滞治疗"</f>
        <v>神经阻滞治疗</v>
      </c>
      <c r="B641" s="1">
        <v>65</v>
      </c>
      <c r="C641" s="1" t="str">
        <f t="shared" si="175"/>
        <v>次</v>
      </c>
      <c r="D641" s="1" t="str">
        <f t="shared" ref="D641:D647" si="177">"次"</f>
        <v>次</v>
      </c>
      <c r="E641" s="1" t="str">
        <f t="shared" si="176"/>
        <v>治疗费</v>
      </c>
    </row>
    <row r="642" spans="1:5">
      <c r="A642" s="1" t="str">
        <f>"葡萄糖耐量试验"</f>
        <v>葡萄糖耐量试验</v>
      </c>
      <c r="B642" s="1">
        <v>20</v>
      </c>
      <c r="C642" s="1" t="str">
        <f t="shared" si="175"/>
        <v>次</v>
      </c>
      <c r="D642" s="1" t="str">
        <f t="shared" si="177"/>
        <v>次</v>
      </c>
      <c r="E642" s="1" t="str">
        <f t="shared" si="176"/>
        <v>治疗费</v>
      </c>
    </row>
    <row r="643" spans="1:5">
      <c r="A643" s="1" t="str">
        <f>"葡萄糖耐量试验（静脉）"</f>
        <v>葡萄糖耐量试验（静脉）</v>
      </c>
      <c r="B643" s="1">
        <v>20</v>
      </c>
      <c r="C643" s="1">
        <v>1</v>
      </c>
      <c r="D643" s="1" t="str">
        <f t="shared" si="177"/>
        <v>次</v>
      </c>
      <c r="E643" s="1" t="str">
        <f>"检验费"</f>
        <v>检验费</v>
      </c>
    </row>
    <row r="644" spans="1:5">
      <c r="A644" s="1" t="str">
        <f>"葡萄糖耐量试验（口服）"</f>
        <v>葡萄糖耐量试验（口服）</v>
      </c>
      <c r="B644" s="1">
        <v>20</v>
      </c>
      <c r="C644" s="1">
        <v>1</v>
      </c>
      <c r="D644" s="1" t="str">
        <f t="shared" si="177"/>
        <v>次</v>
      </c>
      <c r="E644" s="1" t="str">
        <f t="shared" ref="E644:E646" si="178">"治疗费"</f>
        <v>治疗费</v>
      </c>
    </row>
    <row r="645" spans="1:5">
      <c r="A645" s="1" t="str">
        <f>"馒头餐糖耐量试验"</f>
        <v>馒头餐糖耐量试验</v>
      </c>
      <c r="B645" s="1">
        <v>20</v>
      </c>
      <c r="C645" s="1" t="str">
        <f t="shared" ref="C645:C647" si="179">"次"</f>
        <v>次</v>
      </c>
      <c r="D645" s="1" t="str">
        <f t="shared" si="177"/>
        <v>次</v>
      </c>
      <c r="E645" s="1" t="str">
        <f t="shared" si="178"/>
        <v>治疗费</v>
      </c>
    </row>
    <row r="646" spans="1:5">
      <c r="A646" s="1" t="str">
        <f>"可的松糖耐量试验"</f>
        <v>可的松糖耐量试验</v>
      </c>
      <c r="B646" s="1">
        <v>20</v>
      </c>
      <c r="C646" s="1" t="str">
        <f t="shared" si="179"/>
        <v>次</v>
      </c>
      <c r="D646" s="1" t="str">
        <f t="shared" si="177"/>
        <v>次</v>
      </c>
      <c r="E646" s="1" t="str">
        <f t="shared" si="178"/>
        <v>治疗费</v>
      </c>
    </row>
    <row r="647" spans="1:5">
      <c r="A647" s="1" t="str">
        <f>"电脑血糖监测"</f>
        <v>电脑血糖监测</v>
      </c>
      <c r="B647" s="1">
        <v>5.2</v>
      </c>
      <c r="C647" s="1" t="str">
        <f t="shared" si="179"/>
        <v>次</v>
      </c>
      <c r="D647" s="1" t="str">
        <f t="shared" si="177"/>
        <v>次</v>
      </c>
      <c r="E647" s="1" t="str">
        <f>"检验费"</f>
        <v>检验费</v>
      </c>
    </row>
    <row r="648" spans="1:5">
      <c r="A648" s="1" t="str">
        <f>"胰岛素泵持续皮下注射胰岛素"</f>
        <v>胰岛素泵持续皮下注射胰岛素</v>
      </c>
      <c r="B648" s="1">
        <v>10</v>
      </c>
      <c r="C648" s="1" t="str">
        <f>"小时"</f>
        <v>小时</v>
      </c>
      <c r="D648" s="1" t="str">
        <f>"小时"</f>
        <v>小时</v>
      </c>
      <c r="E648" s="1" t="str">
        <f>"其他护理费"</f>
        <v>其他护理费</v>
      </c>
    </row>
    <row r="649" spans="1:5">
      <c r="A649" s="1" t="str">
        <f>"绒毛膜促性腺激素(β-HCG)"</f>
        <v>绒毛膜促性腺激素(β-HCG)</v>
      </c>
      <c r="B649" s="1">
        <v>59</v>
      </c>
      <c r="C649" s="1" t="str">
        <f t="shared" ref="C649:C655" si="180">"次"</f>
        <v>次</v>
      </c>
      <c r="D649" s="1" t="str">
        <f t="shared" ref="D649:D655" si="181">"次"</f>
        <v>次</v>
      </c>
      <c r="E649" s="1" t="str">
        <f>"检验费"</f>
        <v>检验费</v>
      </c>
    </row>
    <row r="650" spans="1:5">
      <c r="A650" s="1" t="str">
        <f>"普通视力检查"</f>
        <v>普通视力检查</v>
      </c>
      <c r="B650" s="1">
        <v>3.9</v>
      </c>
      <c r="C650" s="1" t="str">
        <f t="shared" si="180"/>
        <v>次</v>
      </c>
      <c r="D650" s="1" t="str">
        <f t="shared" si="181"/>
        <v>次</v>
      </c>
      <c r="E650" s="1" t="str">
        <f t="shared" ref="E650:E654" si="182">"检查费"</f>
        <v>检查费</v>
      </c>
    </row>
    <row r="651" spans="1:5">
      <c r="A651" s="1" t="str">
        <f>"特殊视力检查"</f>
        <v>特殊视力检查</v>
      </c>
      <c r="B651" s="1">
        <v>3.9</v>
      </c>
      <c r="C651" s="1" t="str">
        <f t="shared" ref="C651:C653" si="183">"项"</f>
        <v>项</v>
      </c>
      <c r="D651" s="1" t="str">
        <f t="shared" ref="D651:D653" si="184">"项"</f>
        <v>项</v>
      </c>
      <c r="E651" s="1" t="str">
        <f t="shared" si="182"/>
        <v>检查费</v>
      </c>
    </row>
    <row r="652" spans="1:5">
      <c r="A652" s="1" t="str">
        <f>"条栅视力卡"</f>
        <v>条栅视力卡</v>
      </c>
      <c r="B652" s="1">
        <v>3.9</v>
      </c>
      <c r="C652" s="1" t="str">
        <f t="shared" si="183"/>
        <v>项</v>
      </c>
      <c r="D652" s="1" t="str">
        <f t="shared" si="184"/>
        <v>项</v>
      </c>
      <c r="E652" s="1" t="str">
        <f t="shared" si="182"/>
        <v>检查费</v>
      </c>
    </row>
    <row r="653" spans="1:5">
      <c r="A653" s="1" t="str">
        <f>"点视力表"</f>
        <v>点视力表</v>
      </c>
      <c r="B653" s="1">
        <v>3.9</v>
      </c>
      <c r="C653" s="1" t="str">
        <f t="shared" si="183"/>
        <v>项</v>
      </c>
      <c r="D653" s="1" t="str">
        <f t="shared" si="184"/>
        <v>项</v>
      </c>
      <c r="E653" s="1" t="str">
        <f t="shared" si="182"/>
        <v>检查费</v>
      </c>
    </row>
    <row r="654" spans="1:5">
      <c r="A654" s="1" t="str">
        <f>"视网膜视力检查"</f>
        <v>视网膜视力检查</v>
      </c>
      <c r="B654" s="1">
        <v>26</v>
      </c>
      <c r="C654" s="1" t="str">
        <f t="shared" si="180"/>
        <v>次</v>
      </c>
      <c r="D654" s="1" t="str">
        <f t="shared" si="181"/>
        <v>次</v>
      </c>
      <c r="E654" s="1" t="str">
        <f t="shared" si="182"/>
        <v>检查费</v>
      </c>
    </row>
    <row r="655" spans="1:5">
      <c r="A655" s="1" t="str">
        <f>"视野检查"</f>
        <v>视野检查</v>
      </c>
      <c r="B655" s="1">
        <v>26</v>
      </c>
      <c r="C655" s="1" t="str">
        <f t="shared" si="180"/>
        <v>次</v>
      </c>
      <c r="D655" s="1" t="str">
        <f t="shared" si="181"/>
        <v>次</v>
      </c>
      <c r="E655" s="1" t="str">
        <f>"治疗费"</f>
        <v>治疗费</v>
      </c>
    </row>
    <row r="656" spans="1:5">
      <c r="A656" s="1" t="str">
        <f>"验光"</f>
        <v>验光</v>
      </c>
      <c r="B656" s="1">
        <v>26</v>
      </c>
      <c r="C656" s="1" t="str">
        <f>"项"</f>
        <v>项</v>
      </c>
      <c r="D656" s="1" t="str">
        <f>"项"</f>
        <v>项</v>
      </c>
      <c r="E656" s="1" t="str">
        <f t="shared" ref="E656:E662" si="185">"检查费"</f>
        <v>检查费</v>
      </c>
    </row>
    <row r="657" spans="1:5">
      <c r="A657" s="1" t="str">
        <f>"复视检查"</f>
        <v>复视检查</v>
      </c>
      <c r="B657" s="1">
        <v>13</v>
      </c>
      <c r="C657" s="1" t="str">
        <f t="shared" ref="C657:C677" si="186">"次"</f>
        <v>次</v>
      </c>
      <c r="D657" s="1" t="str">
        <f t="shared" ref="D657:D660" si="187">"次"</f>
        <v>次</v>
      </c>
      <c r="E657" s="1" t="str">
        <f t="shared" si="185"/>
        <v>检查费</v>
      </c>
    </row>
    <row r="658" spans="1:5">
      <c r="A658" s="1" t="str">
        <f>"斜视度测定"</f>
        <v>斜视度测定</v>
      </c>
      <c r="B658" s="1">
        <v>13</v>
      </c>
      <c r="C658" s="1" t="str">
        <f t="shared" si="186"/>
        <v>次</v>
      </c>
      <c r="D658" s="1" t="str">
        <f t="shared" si="187"/>
        <v>次</v>
      </c>
      <c r="E658" s="1" t="str">
        <f t="shared" si="185"/>
        <v>检查费</v>
      </c>
    </row>
    <row r="659" spans="1:5">
      <c r="A659" s="1" t="str">
        <f>"三棱镜检查"</f>
        <v>三棱镜检查</v>
      </c>
      <c r="B659" s="1">
        <v>5.2</v>
      </c>
      <c r="C659" s="1" t="str">
        <f t="shared" si="186"/>
        <v>次</v>
      </c>
      <c r="D659" s="1" t="str">
        <f t="shared" si="187"/>
        <v>次</v>
      </c>
      <c r="E659" s="1" t="str">
        <f t="shared" si="185"/>
        <v>检查费</v>
      </c>
    </row>
    <row r="660" spans="1:5">
      <c r="A660" s="1" t="str">
        <f>"牵拉试验"</f>
        <v>牵拉试验</v>
      </c>
      <c r="B660" s="1">
        <v>13</v>
      </c>
      <c r="C660" s="1" t="str">
        <f t="shared" si="186"/>
        <v>次</v>
      </c>
      <c r="D660" s="1" t="str">
        <f t="shared" si="187"/>
        <v>次</v>
      </c>
      <c r="E660" s="1" t="str">
        <f t="shared" si="185"/>
        <v>检查费</v>
      </c>
    </row>
    <row r="661" spans="1:5">
      <c r="A661" s="1" t="str">
        <f>"双眼视觉检查"</f>
        <v>双眼视觉检查</v>
      </c>
      <c r="B661" s="1">
        <v>13</v>
      </c>
      <c r="C661" s="1" t="str">
        <f t="shared" si="186"/>
        <v>次</v>
      </c>
      <c r="D661" s="1" t="str">
        <f>"次(双眼)"</f>
        <v>次(双眼)</v>
      </c>
      <c r="E661" s="1" t="str">
        <f t="shared" si="185"/>
        <v>检查费</v>
      </c>
    </row>
    <row r="662" spans="1:5">
      <c r="A662" s="1" t="str">
        <f>"色觉检查"</f>
        <v>色觉检查</v>
      </c>
      <c r="B662" s="1">
        <v>6.5</v>
      </c>
      <c r="C662" s="1" t="str">
        <f t="shared" si="186"/>
        <v>次</v>
      </c>
      <c r="D662" s="1" t="str">
        <f t="shared" ref="D662:D664" si="188">"次"</f>
        <v>次</v>
      </c>
      <c r="E662" s="1" t="str">
        <f t="shared" si="185"/>
        <v>检查费</v>
      </c>
    </row>
    <row r="663" spans="1:5">
      <c r="A663" s="1" t="str">
        <f>"暗适应测定"</f>
        <v>暗适应测定</v>
      </c>
      <c r="B663" s="1">
        <v>26</v>
      </c>
      <c r="C663" s="1" t="str">
        <f t="shared" si="186"/>
        <v>次</v>
      </c>
      <c r="D663" s="1" t="str">
        <f t="shared" si="188"/>
        <v>次</v>
      </c>
      <c r="E663" s="1" t="str">
        <f t="shared" ref="E663:E668" si="189">"治疗费"</f>
        <v>治疗费</v>
      </c>
    </row>
    <row r="664" spans="1:5">
      <c r="A664" s="1" t="str">
        <f>"明适应测定"</f>
        <v>明适应测定</v>
      </c>
      <c r="B664" s="1">
        <v>26</v>
      </c>
      <c r="C664" s="1" t="str">
        <f t="shared" si="186"/>
        <v>次</v>
      </c>
      <c r="D664" s="1" t="str">
        <f t="shared" si="188"/>
        <v>次</v>
      </c>
      <c r="E664" s="1" t="str">
        <f t="shared" si="189"/>
        <v>治疗费</v>
      </c>
    </row>
    <row r="665" spans="1:5">
      <c r="A665" s="1" t="str">
        <f>"眼压检查"</f>
        <v>眼压检查</v>
      </c>
      <c r="B665" s="1">
        <v>13</v>
      </c>
      <c r="C665" s="1" t="str">
        <f t="shared" si="186"/>
        <v>次</v>
      </c>
      <c r="D665" s="1" t="str">
        <f t="shared" ref="D665:D668" si="190">"次(双眼)"</f>
        <v>次(双眼)</v>
      </c>
      <c r="E665" s="1" t="str">
        <f t="shared" ref="E665:E667" si="191">"检查费"</f>
        <v>检查费</v>
      </c>
    </row>
    <row r="666" spans="1:5">
      <c r="A666" s="1" t="str">
        <f>"上睑下垂检查"</f>
        <v>上睑下垂检查</v>
      </c>
      <c r="B666" s="1">
        <v>6.5</v>
      </c>
      <c r="C666" s="1" t="str">
        <f t="shared" si="186"/>
        <v>次</v>
      </c>
      <c r="D666" s="1" t="str">
        <f t="shared" ref="D666:D674" si="192">"次"</f>
        <v>次</v>
      </c>
      <c r="E666" s="1" t="str">
        <f t="shared" si="191"/>
        <v>检查费</v>
      </c>
    </row>
    <row r="667" spans="1:5">
      <c r="A667" s="1" t="str">
        <f>"泪膜破裂时间测定"</f>
        <v>泪膜破裂时间测定</v>
      </c>
      <c r="B667" s="1">
        <v>8</v>
      </c>
      <c r="C667" s="1" t="str">
        <f t="shared" si="186"/>
        <v>次</v>
      </c>
      <c r="D667" s="1" t="str">
        <f t="shared" si="190"/>
        <v>次(双眼)</v>
      </c>
      <c r="E667" s="1" t="str">
        <f t="shared" si="191"/>
        <v>检查费</v>
      </c>
    </row>
    <row r="668" spans="1:5">
      <c r="A668" s="1" t="str">
        <f>"泪道冲洗"</f>
        <v>泪道冲洗</v>
      </c>
      <c r="B668" s="1">
        <v>6</v>
      </c>
      <c r="C668" s="1" t="str">
        <f t="shared" si="186"/>
        <v>次</v>
      </c>
      <c r="D668" s="1" t="str">
        <f t="shared" si="190"/>
        <v>次(双眼)</v>
      </c>
      <c r="E668" s="1" t="str">
        <f t="shared" si="189"/>
        <v>治疗费</v>
      </c>
    </row>
    <row r="669" spans="1:5">
      <c r="A669" s="1" t="str">
        <f>"青光眼诱导试验"</f>
        <v>青光眼诱导试验</v>
      </c>
      <c r="B669" s="1">
        <v>10</v>
      </c>
      <c r="C669" s="1" t="str">
        <f t="shared" si="186"/>
        <v>次</v>
      </c>
      <c r="D669" s="1" t="str">
        <f t="shared" si="192"/>
        <v>次</v>
      </c>
      <c r="E669" s="1" t="str">
        <f t="shared" ref="E669:E671" si="193">"检查费"</f>
        <v>检查费</v>
      </c>
    </row>
    <row r="670" spans="1:5">
      <c r="A670" s="1" t="str">
        <f>"角膜荧光素染色检查"</f>
        <v>角膜荧光素染色检查</v>
      </c>
      <c r="B670" s="1">
        <v>8</v>
      </c>
      <c r="C670" s="1" t="str">
        <f t="shared" si="186"/>
        <v>次</v>
      </c>
      <c r="D670" s="1" t="str">
        <f t="shared" si="192"/>
        <v>次</v>
      </c>
      <c r="E670" s="1" t="str">
        <f t="shared" si="193"/>
        <v>检查费</v>
      </c>
    </row>
    <row r="671" spans="1:5">
      <c r="A671" s="1" t="str">
        <f>"角膜知觉检查"</f>
        <v>角膜知觉检查</v>
      </c>
      <c r="B671" s="1">
        <v>13</v>
      </c>
      <c r="C671" s="1" t="str">
        <f t="shared" si="186"/>
        <v>次</v>
      </c>
      <c r="D671" s="1" t="str">
        <f t="shared" si="192"/>
        <v>次</v>
      </c>
      <c r="E671" s="1" t="str">
        <f t="shared" si="193"/>
        <v>检查费</v>
      </c>
    </row>
    <row r="672" spans="1:5">
      <c r="A672" s="1" t="str">
        <f>"前房深度测量"</f>
        <v>前房深度测量</v>
      </c>
      <c r="B672" s="1">
        <v>26</v>
      </c>
      <c r="C672" s="1" t="str">
        <f t="shared" si="186"/>
        <v>次</v>
      </c>
      <c r="D672" s="1" t="str">
        <f t="shared" si="192"/>
        <v>次</v>
      </c>
      <c r="E672" s="1" t="str">
        <f>"治疗费"</f>
        <v>治疗费</v>
      </c>
    </row>
    <row r="673" spans="1:5">
      <c r="A673" s="1" t="str">
        <f>"房水荧光测定"</f>
        <v>房水荧光测定</v>
      </c>
      <c r="B673" s="1">
        <v>13</v>
      </c>
      <c r="C673" s="1" t="str">
        <f t="shared" si="186"/>
        <v>次</v>
      </c>
      <c r="D673" s="1" t="str">
        <f t="shared" si="192"/>
        <v>次</v>
      </c>
      <c r="E673" s="1" t="str">
        <f t="shared" ref="E673:E675" si="194">"检查费"</f>
        <v>检查费</v>
      </c>
    </row>
    <row r="674" spans="1:5">
      <c r="A674" s="1" t="str">
        <f>"裂隙灯检查"</f>
        <v>裂隙灯检查</v>
      </c>
      <c r="B674" s="1">
        <v>3.9</v>
      </c>
      <c r="C674" s="1" t="str">
        <f t="shared" si="186"/>
        <v>次</v>
      </c>
      <c r="D674" s="1" t="str">
        <f t="shared" si="192"/>
        <v>次</v>
      </c>
      <c r="E674" s="1" t="str">
        <f t="shared" si="194"/>
        <v>检查费</v>
      </c>
    </row>
    <row r="675" spans="1:5">
      <c r="A675" s="1" t="str">
        <f>"裂隙灯下眼底检查"</f>
        <v>裂隙灯下眼底检查</v>
      </c>
      <c r="B675" s="1">
        <v>13</v>
      </c>
      <c r="C675" s="1" t="str">
        <f t="shared" si="186"/>
        <v>次</v>
      </c>
      <c r="D675" s="1" t="str">
        <f>"次(双眼)"</f>
        <v>次(双眼)</v>
      </c>
      <c r="E675" s="1" t="str">
        <f t="shared" si="194"/>
        <v>检查费</v>
      </c>
    </row>
    <row r="676" spans="1:5">
      <c r="A676" s="1" t="str">
        <f>"裂隙灯下房角镜检查"</f>
        <v>裂隙灯下房角镜检查</v>
      </c>
      <c r="B676" s="1">
        <v>5.2</v>
      </c>
      <c r="C676" s="1" t="str">
        <f t="shared" si="186"/>
        <v>次</v>
      </c>
      <c r="D676" s="1" t="str">
        <f t="shared" ref="D676:D681" si="195">"次"</f>
        <v>次</v>
      </c>
      <c r="E676" s="1" t="str">
        <f>"治疗费"</f>
        <v>治疗费</v>
      </c>
    </row>
    <row r="677" spans="1:5">
      <c r="A677" s="1" t="str">
        <f>"眼位照相"</f>
        <v>眼位照相</v>
      </c>
      <c r="B677" s="1">
        <v>26</v>
      </c>
      <c r="C677" s="1" t="str">
        <f t="shared" si="186"/>
        <v>次</v>
      </c>
      <c r="D677" s="1" t="str">
        <f t="shared" si="195"/>
        <v>次</v>
      </c>
      <c r="E677" s="1" t="str">
        <f t="shared" ref="E677:E679" si="196">"检查费"</f>
        <v>检查费</v>
      </c>
    </row>
    <row r="678" spans="1:5">
      <c r="A678" s="1" t="str">
        <f>"眼前段照相"</f>
        <v>眼前段照相</v>
      </c>
      <c r="B678" s="1">
        <v>20</v>
      </c>
      <c r="C678" s="1" t="str">
        <f t="shared" ref="C678:C683" si="197">"项"</f>
        <v>项</v>
      </c>
      <c r="D678" s="1" t="str">
        <f t="shared" ref="D678:D683" si="198">"项"</f>
        <v>项</v>
      </c>
      <c r="E678" s="1" t="str">
        <f t="shared" si="196"/>
        <v>检查费</v>
      </c>
    </row>
    <row r="679" spans="1:5">
      <c r="A679" s="1" t="str">
        <f>"眼底照相"</f>
        <v>眼底照相</v>
      </c>
      <c r="B679" s="1">
        <v>35</v>
      </c>
      <c r="C679" s="1" t="str">
        <f t="shared" ref="C679:C681" si="199">"次"</f>
        <v>次</v>
      </c>
      <c r="D679" s="1" t="str">
        <f t="shared" si="195"/>
        <v>次</v>
      </c>
      <c r="E679" s="1" t="str">
        <f t="shared" si="196"/>
        <v>检查费</v>
      </c>
    </row>
    <row r="680" spans="1:5">
      <c r="A680" s="1" t="str">
        <f>"裂隙灯下眼底视神经立体照相"</f>
        <v>裂隙灯下眼底视神经立体照相</v>
      </c>
      <c r="B680" s="1">
        <v>78</v>
      </c>
      <c r="C680" s="1" t="str">
        <f t="shared" si="199"/>
        <v>次</v>
      </c>
      <c r="D680" s="1" t="str">
        <f t="shared" si="195"/>
        <v>次</v>
      </c>
      <c r="E680" s="1" t="str">
        <f>"治疗费"</f>
        <v>治疗费</v>
      </c>
    </row>
    <row r="681" spans="1:5">
      <c r="A681" s="1" t="str">
        <f>"眼底检查"</f>
        <v>眼底检查</v>
      </c>
      <c r="B681" s="1">
        <v>8</v>
      </c>
      <c r="C681" s="1" t="str">
        <f t="shared" si="199"/>
        <v>次</v>
      </c>
      <c r="D681" s="1" t="str">
        <f t="shared" si="195"/>
        <v>次</v>
      </c>
      <c r="E681" s="1" t="str">
        <f t="shared" ref="E681:E683" si="200">"检查费"</f>
        <v>检查费</v>
      </c>
    </row>
    <row r="682" spans="1:5">
      <c r="A682" s="1" t="str">
        <f>"眼底检查（间接眼底镜法）"</f>
        <v>眼底检查（间接眼底镜法）</v>
      </c>
      <c r="B682" s="1">
        <v>8</v>
      </c>
      <c r="C682" s="1" t="str">
        <f t="shared" si="197"/>
        <v>项</v>
      </c>
      <c r="D682" s="1" t="str">
        <f t="shared" si="198"/>
        <v>项</v>
      </c>
      <c r="E682" s="1" t="str">
        <f t="shared" si="200"/>
        <v>检查费</v>
      </c>
    </row>
    <row r="683" spans="1:5">
      <c r="A683" s="1" t="str">
        <f>"眼底检查（直接眼底镜法）"</f>
        <v>眼底检查（直接眼底镜法）</v>
      </c>
      <c r="B683" s="1">
        <v>8</v>
      </c>
      <c r="C683" s="1" t="str">
        <f t="shared" si="197"/>
        <v>项</v>
      </c>
      <c r="D683" s="1" t="str">
        <f t="shared" si="198"/>
        <v>项</v>
      </c>
      <c r="E683" s="1" t="str">
        <f t="shared" si="200"/>
        <v>检查费</v>
      </c>
    </row>
    <row r="684" spans="1:5">
      <c r="A684" s="1" t="str">
        <f>"视网膜裂孔定位检查"</f>
        <v>视网膜裂孔定位检查</v>
      </c>
      <c r="B684" s="1">
        <v>13</v>
      </c>
      <c r="C684" s="1" t="str">
        <f t="shared" ref="C684:C691" si="201">"次"</f>
        <v>次</v>
      </c>
      <c r="D684" s="1" t="str">
        <f t="shared" ref="D684:D703" si="202">"次"</f>
        <v>次</v>
      </c>
      <c r="E684" s="1" t="str">
        <f t="shared" ref="E684:E704" si="203">"治疗费"</f>
        <v>治疗费</v>
      </c>
    </row>
    <row r="685" spans="1:5">
      <c r="A685" s="1" t="str">
        <f>"眼外肌功能检查"</f>
        <v>眼外肌功能检查</v>
      </c>
      <c r="B685" s="1">
        <v>6.5</v>
      </c>
      <c r="C685" s="1" t="str">
        <f t="shared" si="201"/>
        <v>次</v>
      </c>
      <c r="D685" s="1" t="str">
        <f t="shared" si="202"/>
        <v>次</v>
      </c>
      <c r="E685" s="1" t="str">
        <f t="shared" ref="E685:E688" si="204">"检查费"</f>
        <v>检查费</v>
      </c>
    </row>
    <row r="686" spans="1:5">
      <c r="A686" s="1" t="str">
        <f>"马氏(Maddox)杆试验"</f>
        <v>马氏(Maddox)杆试验</v>
      </c>
      <c r="B686" s="1">
        <v>13</v>
      </c>
      <c r="C686" s="1" t="str">
        <f t="shared" si="201"/>
        <v>次</v>
      </c>
      <c r="D686" s="1" t="str">
        <f t="shared" si="202"/>
        <v>次</v>
      </c>
      <c r="E686" s="1" t="str">
        <f t="shared" si="203"/>
        <v>治疗费</v>
      </c>
    </row>
    <row r="687" spans="1:5">
      <c r="A687" s="1" t="str">
        <f>"角膜刮片检查"</f>
        <v>角膜刮片检查</v>
      </c>
      <c r="B687" s="1">
        <v>13</v>
      </c>
      <c r="C687" s="1" t="str">
        <f t="shared" si="201"/>
        <v>次</v>
      </c>
      <c r="D687" s="1" t="str">
        <f t="shared" si="202"/>
        <v>次</v>
      </c>
      <c r="E687" s="1" t="str">
        <f t="shared" si="204"/>
        <v>检查费</v>
      </c>
    </row>
    <row r="688" spans="1:5">
      <c r="A688" s="1" t="str">
        <f>"结膜囊取材检查"</f>
        <v>结膜囊取材检查</v>
      </c>
      <c r="B688" s="1">
        <v>13</v>
      </c>
      <c r="C688" s="1" t="str">
        <f t="shared" si="201"/>
        <v>次</v>
      </c>
      <c r="D688" s="1" t="str">
        <f t="shared" si="202"/>
        <v>次</v>
      </c>
      <c r="E688" s="1" t="str">
        <f t="shared" si="204"/>
        <v>检查费</v>
      </c>
    </row>
    <row r="689" spans="1:5">
      <c r="A689" s="1" t="str">
        <f>"电解倒睫"</f>
        <v>电解倒睫</v>
      </c>
      <c r="B689" s="1">
        <v>13</v>
      </c>
      <c r="C689" s="1" t="str">
        <f t="shared" si="201"/>
        <v>次</v>
      </c>
      <c r="D689" s="1" t="str">
        <f t="shared" si="202"/>
        <v>次</v>
      </c>
      <c r="E689" s="1" t="str">
        <f t="shared" si="203"/>
        <v>治疗费</v>
      </c>
    </row>
    <row r="690" spans="1:5">
      <c r="A690" s="1" t="str">
        <f>"拔倒睫"</f>
        <v>拔倒睫</v>
      </c>
      <c r="B690" s="1">
        <v>13</v>
      </c>
      <c r="C690" s="1" t="str">
        <f t="shared" si="201"/>
        <v>次</v>
      </c>
      <c r="D690" s="1" t="str">
        <f t="shared" si="202"/>
        <v>次</v>
      </c>
      <c r="E690" s="1" t="str">
        <f t="shared" si="203"/>
        <v>治疗费</v>
      </c>
    </row>
    <row r="691" spans="1:5">
      <c r="A691" s="1" t="str">
        <f>"睑板腺按摩"</f>
        <v>睑板腺按摩</v>
      </c>
      <c r="B691" s="1">
        <v>13</v>
      </c>
      <c r="C691" s="1" t="str">
        <f t="shared" si="201"/>
        <v>次</v>
      </c>
      <c r="D691" s="1" t="str">
        <f t="shared" si="202"/>
        <v>次</v>
      </c>
      <c r="E691" s="1" t="str">
        <f t="shared" si="203"/>
        <v>治疗费</v>
      </c>
    </row>
    <row r="692" spans="1:5">
      <c r="A692" s="1" t="str">
        <f>"冲洗结膜囊"</f>
        <v>冲洗结膜囊</v>
      </c>
      <c r="B692" s="1">
        <v>5</v>
      </c>
      <c r="C692" s="1" t="str">
        <f>"-"</f>
        <v>-</v>
      </c>
      <c r="D692" s="1" t="str">
        <f t="shared" si="202"/>
        <v>次</v>
      </c>
      <c r="E692" s="1" t="str">
        <f t="shared" si="203"/>
        <v>治疗费</v>
      </c>
    </row>
    <row r="693" spans="1:5">
      <c r="A693" s="1" t="str">
        <f>"睑结膜伪膜去除冲洗"</f>
        <v>睑结膜伪膜去除冲洗</v>
      </c>
      <c r="B693" s="1">
        <v>13</v>
      </c>
      <c r="C693" s="1" t="str">
        <f t="shared" ref="C693:C708" si="205">"次"</f>
        <v>次</v>
      </c>
      <c r="D693" s="1" t="str">
        <f t="shared" si="202"/>
        <v>次</v>
      </c>
      <c r="E693" s="1" t="str">
        <f t="shared" si="203"/>
        <v>治疗费</v>
      </c>
    </row>
    <row r="694" spans="1:5">
      <c r="A694" s="1" t="str">
        <f>"取结膜结石"</f>
        <v>取结膜结石</v>
      </c>
      <c r="B694" s="1">
        <v>13</v>
      </c>
      <c r="C694" s="1" t="str">
        <f t="shared" si="205"/>
        <v>次</v>
      </c>
      <c r="D694" s="1" t="str">
        <f t="shared" si="202"/>
        <v>次</v>
      </c>
      <c r="E694" s="1" t="str">
        <f t="shared" si="203"/>
        <v>治疗费</v>
      </c>
    </row>
    <row r="695" spans="1:5">
      <c r="A695" s="1" t="str">
        <f>"沙眼磨擦压挤术"</f>
        <v>沙眼磨擦压挤术</v>
      </c>
      <c r="B695" s="1">
        <v>13</v>
      </c>
      <c r="C695" s="1" t="str">
        <f t="shared" si="205"/>
        <v>次</v>
      </c>
      <c r="D695" s="1" t="str">
        <f t="shared" si="202"/>
        <v>次</v>
      </c>
      <c r="E695" s="1" t="str">
        <f t="shared" si="203"/>
        <v>治疗费</v>
      </c>
    </row>
    <row r="696" spans="1:5">
      <c r="A696" s="1" t="str">
        <f>"眼部脓肿切开引流术"</f>
        <v>眼部脓肿切开引流术</v>
      </c>
      <c r="B696" s="1">
        <v>65</v>
      </c>
      <c r="C696" s="1" t="str">
        <f t="shared" si="205"/>
        <v>次</v>
      </c>
      <c r="D696" s="1" t="str">
        <f t="shared" si="202"/>
        <v>次</v>
      </c>
      <c r="E696" s="1" t="str">
        <f t="shared" si="203"/>
        <v>治疗费</v>
      </c>
    </row>
    <row r="697" spans="1:5">
      <c r="A697" s="1" t="str">
        <f>"球结膜下注射"</f>
        <v>球结膜下注射</v>
      </c>
      <c r="B697" s="1">
        <v>6.5</v>
      </c>
      <c r="C697" s="1" t="str">
        <f t="shared" si="205"/>
        <v>次</v>
      </c>
      <c r="D697" s="1" t="str">
        <f t="shared" si="202"/>
        <v>次</v>
      </c>
      <c r="E697" s="1" t="str">
        <f t="shared" si="203"/>
        <v>治疗费</v>
      </c>
    </row>
    <row r="698" spans="1:5">
      <c r="A698" s="1" t="str">
        <f>"球后注射"</f>
        <v>球后注射</v>
      </c>
      <c r="B698" s="1">
        <v>13</v>
      </c>
      <c r="C698" s="1" t="str">
        <f t="shared" si="205"/>
        <v>次</v>
      </c>
      <c r="D698" s="1" t="str">
        <f t="shared" si="202"/>
        <v>次</v>
      </c>
      <c r="E698" s="1" t="str">
        <f t="shared" si="203"/>
        <v>治疗费</v>
      </c>
    </row>
    <row r="699" spans="1:5">
      <c r="A699" s="1" t="str">
        <f>"眶上神经封闭"</f>
        <v>眶上神经封闭</v>
      </c>
      <c r="B699" s="1">
        <v>13</v>
      </c>
      <c r="C699" s="1" t="str">
        <f t="shared" si="205"/>
        <v>次</v>
      </c>
      <c r="D699" s="1" t="str">
        <f t="shared" si="202"/>
        <v>次</v>
      </c>
      <c r="E699" s="1" t="str">
        <f t="shared" si="203"/>
        <v>治疗费</v>
      </c>
    </row>
    <row r="700" spans="1:5">
      <c r="A700" s="1" t="str">
        <f>"角膜异物剔除术"</f>
        <v>角膜异物剔除术</v>
      </c>
      <c r="B700" s="1">
        <v>26</v>
      </c>
      <c r="C700" s="1" t="str">
        <f t="shared" si="205"/>
        <v>次</v>
      </c>
      <c r="D700" s="1" t="str">
        <f t="shared" si="202"/>
        <v>次</v>
      </c>
      <c r="E700" s="1" t="str">
        <f t="shared" si="203"/>
        <v>治疗费</v>
      </c>
    </row>
    <row r="701" spans="1:5">
      <c r="A701" s="1" t="str">
        <f>"角膜溃疡灼烙术"</f>
        <v>角膜溃疡灼烙术</v>
      </c>
      <c r="B701" s="1">
        <v>20</v>
      </c>
      <c r="C701" s="1" t="str">
        <f t="shared" si="205"/>
        <v>次</v>
      </c>
      <c r="D701" s="1" t="str">
        <f t="shared" si="202"/>
        <v>次</v>
      </c>
      <c r="E701" s="1" t="str">
        <f t="shared" si="203"/>
        <v>治疗费</v>
      </c>
    </row>
    <row r="702" spans="1:5">
      <c r="A702" s="1" t="str">
        <f>"泪小点扩张"</f>
        <v>泪小点扩张</v>
      </c>
      <c r="B702" s="1">
        <v>13</v>
      </c>
      <c r="C702" s="1" t="str">
        <f t="shared" si="205"/>
        <v>次</v>
      </c>
      <c r="D702" s="1" t="str">
        <f t="shared" si="202"/>
        <v>次</v>
      </c>
      <c r="E702" s="1" t="str">
        <f t="shared" si="203"/>
        <v>治疗费</v>
      </c>
    </row>
    <row r="703" spans="1:5">
      <c r="A703" s="1" t="str">
        <f>"泪道探通术"</f>
        <v>泪道探通术</v>
      </c>
      <c r="B703" s="1">
        <v>13</v>
      </c>
      <c r="C703" s="1" t="str">
        <f t="shared" si="205"/>
        <v>次</v>
      </c>
      <c r="D703" s="1" t="str">
        <f t="shared" si="202"/>
        <v>次</v>
      </c>
      <c r="E703" s="1" t="str">
        <f t="shared" si="203"/>
        <v>治疗费</v>
      </c>
    </row>
    <row r="704" spans="1:5">
      <c r="A704" s="1" t="str">
        <f>"散瞳"</f>
        <v>散瞳</v>
      </c>
      <c r="B704" s="1">
        <v>10</v>
      </c>
      <c r="C704" s="1" t="str">
        <f t="shared" si="205"/>
        <v>次</v>
      </c>
      <c r="D704" s="1" t="str">
        <f>"单眼"</f>
        <v>单眼</v>
      </c>
      <c r="E704" s="1" t="str">
        <f t="shared" si="203"/>
        <v>治疗费</v>
      </c>
    </row>
    <row r="705" spans="1:5">
      <c r="A705" s="1" t="str">
        <f>"纯音听阈测定"</f>
        <v>纯音听阈测定</v>
      </c>
      <c r="B705" s="1">
        <v>13</v>
      </c>
      <c r="C705" s="1" t="str">
        <f t="shared" si="205"/>
        <v>次</v>
      </c>
      <c r="D705" s="1" t="str">
        <f t="shared" ref="D705:D732" si="206">"次"</f>
        <v>次</v>
      </c>
      <c r="E705" s="1" t="str">
        <f t="shared" ref="E705:E707" si="207">"检查费"</f>
        <v>检查费</v>
      </c>
    </row>
    <row r="706" spans="1:5">
      <c r="A706" s="1" t="str">
        <f>"耳声发射检查"</f>
        <v>耳声发射检查</v>
      </c>
      <c r="B706" s="1">
        <v>130</v>
      </c>
      <c r="C706" s="1" t="str">
        <f t="shared" si="205"/>
        <v>次</v>
      </c>
      <c r="D706" s="1" t="str">
        <f t="shared" si="206"/>
        <v>次</v>
      </c>
      <c r="E706" s="1" t="str">
        <f t="shared" si="207"/>
        <v>检查费</v>
      </c>
    </row>
    <row r="707" spans="1:5">
      <c r="A707" s="1" t="str">
        <f>"听力筛选试验"</f>
        <v>听力筛选试验</v>
      </c>
      <c r="B707" s="1">
        <v>65</v>
      </c>
      <c r="C707" s="1" t="str">
        <f t="shared" si="205"/>
        <v>次</v>
      </c>
      <c r="D707" s="1" t="str">
        <f t="shared" si="206"/>
        <v>次</v>
      </c>
      <c r="E707" s="1" t="str">
        <f t="shared" si="207"/>
        <v>检查费</v>
      </c>
    </row>
    <row r="708" spans="1:5">
      <c r="A708" s="1" t="str">
        <f>"硬性耳内镜检查"</f>
        <v>硬性耳内镜检查</v>
      </c>
      <c r="B708" s="1">
        <v>2.6</v>
      </c>
      <c r="C708" s="1" t="str">
        <f t="shared" si="205"/>
        <v>次</v>
      </c>
      <c r="D708" s="1" t="str">
        <f t="shared" si="206"/>
        <v>次</v>
      </c>
      <c r="E708" s="1" t="str">
        <f t="shared" ref="E708:E716" si="208">"治疗费"</f>
        <v>治疗费</v>
      </c>
    </row>
    <row r="709" spans="1:5">
      <c r="A709" s="1" t="str">
        <f>"电耳镜检查"</f>
        <v>电耳镜检查</v>
      </c>
      <c r="B709" s="1">
        <v>2.6</v>
      </c>
      <c r="C709" s="1" t="str">
        <f>"-"</f>
        <v>-</v>
      </c>
      <c r="D709" s="1" t="str">
        <f t="shared" si="206"/>
        <v>次</v>
      </c>
      <c r="E709" s="1" t="str">
        <f>"检查费"</f>
        <v>检查费</v>
      </c>
    </row>
    <row r="710" spans="1:5">
      <c r="A710" s="1" t="str">
        <f>"鼓膜穿刺术"</f>
        <v>鼓膜穿刺术</v>
      </c>
      <c r="B710" s="1">
        <v>39</v>
      </c>
      <c r="C710" s="1" t="str">
        <f t="shared" ref="C710:C732" si="209">"次"</f>
        <v>次</v>
      </c>
      <c r="D710" s="1" t="str">
        <f t="shared" si="206"/>
        <v>次</v>
      </c>
      <c r="E710" s="1" t="str">
        <f t="shared" si="208"/>
        <v>治疗费</v>
      </c>
    </row>
    <row r="711" spans="1:5">
      <c r="A711" s="1" t="str">
        <f>"耵聍冲洗"</f>
        <v>耵聍冲洗</v>
      </c>
      <c r="B711" s="1">
        <v>3.9</v>
      </c>
      <c r="C711" s="1" t="str">
        <f>"-"</f>
        <v>-</v>
      </c>
      <c r="D711" s="1" t="str">
        <f t="shared" si="206"/>
        <v>次</v>
      </c>
      <c r="E711" s="1" t="str">
        <f t="shared" si="208"/>
        <v>治疗费</v>
      </c>
    </row>
    <row r="712" spans="1:5">
      <c r="A712" s="1" t="str">
        <f>"盯聍取出"</f>
        <v>盯聍取出</v>
      </c>
      <c r="B712" s="1">
        <v>13</v>
      </c>
      <c r="C712" s="1" t="str">
        <f t="shared" si="209"/>
        <v>次</v>
      </c>
      <c r="D712" s="1" t="str">
        <f t="shared" si="206"/>
        <v>次</v>
      </c>
      <c r="E712" s="1" t="str">
        <f t="shared" si="208"/>
        <v>治疗费</v>
      </c>
    </row>
    <row r="713" spans="1:5">
      <c r="A713" s="1" t="str">
        <f>"耳正负压治疗"</f>
        <v>耳正负压治疗</v>
      </c>
      <c r="B713" s="1">
        <v>13</v>
      </c>
      <c r="C713" s="1" t="str">
        <f t="shared" si="209"/>
        <v>次</v>
      </c>
      <c r="D713" s="1" t="str">
        <f t="shared" si="206"/>
        <v>次</v>
      </c>
      <c r="E713" s="1" t="str">
        <f t="shared" si="208"/>
        <v>治疗费</v>
      </c>
    </row>
    <row r="714" spans="1:5">
      <c r="A714" s="1" t="str">
        <f>"耳神经阻滞"</f>
        <v>耳神经阻滞</v>
      </c>
      <c r="B714" s="1">
        <v>39</v>
      </c>
      <c r="C714" s="1" t="str">
        <f t="shared" si="209"/>
        <v>次</v>
      </c>
      <c r="D714" s="1" t="str">
        <f t="shared" si="206"/>
        <v>次</v>
      </c>
      <c r="E714" s="1" t="str">
        <f t="shared" si="208"/>
        <v>治疗费</v>
      </c>
    </row>
    <row r="715" spans="1:5">
      <c r="A715" s="1" t="str">
        <f>"耳廓假性囊肿穿刺压迫治疗"</f>
        <v>耳廓假性囊肿穿刺压迫治疗</v>
      </c>
      <c r="B715" s="1">
        <v>39</v>
      </c>
      <c r="C715" s="1" t="str">
        <f t="shared" si="209"/>
        <v>次</v>
      </c>
      <c r="D715" s="1" t="str">
        <f t="shared" si="206"/>
        <v>次</v>
      </c>
      <c r="E715" s="1" t="str">
        <f t="shared" si="208"/>
        <v>治疗费</v>
      </c>
    </row>
    <row r="716" spans="1:5">
      <c r="A716" s="1" t="str">
        <f>"耳部特殊治疗"</f>
        <v>耳部特殊治疗</v>
      </c>
      <c r="B716" s="1">
        <v>33</v>
      </c>
      <c r="C716" s="1" t="str">
        <f t="shared" si="209"/>
        <v>次</v>
      </c>
      <c r="D716" s="1" t="str">
        <f t="shared" si="206"/>
        <v>次</v>
      </c>
      <c r="E716" s="1" t="str">
        <f t="shared" si="208"/>
        <v>治疗费</v>
      </c>
    </row>
    <row r="717" spans="1:5">
      <c r="A717" s="1" t="str">
        <f>"前鼻镜检查"</f>
        <v>前鼻镜检查</v>
      </c>
      <c r="B717" s="1">
        <v>3.9</v>
      </c>
      <c r="C717" s="1" t="str">
        <f t="shared" si="209"/>
        <v>次</v>
      </c>
      <c r="D717" s="1" t="str">
        <f t="shared" si="206"/>
        <v>次</v>
      </c>
      <c r="E717" s="1" t="str">
        <f>"检查费"</f>
        <v>检查费</v>
      </c>
    </row>
    <row r="718" spans="1:5">
      <c r="A718" s="1" t="str">
        <f>"嗅觉功能检测"</f>
        <v>嗅觉功能检测</v>
      </c>
      <c r="B718" s="1">
        <v>20</v>
      </c>
      <c r="C718" s="1" t="str">
        <f t="shared" si="209"/>
        <v>次</v>
      </c>
      <c r="D718" s="1" t="str">
        <f t="shared" si="206"/>
        <v>次</v>
      </c>
      <c r="E718" s="1" t="str">
        <f t="shared" ref="E718:E727" si="210">"治疗费"</f>
        <v>治疗费</v>
      </c>
    </row>
    <row r="719" spans="1:5">
      <c r="A719" s="1" t="str">
        <f>"鼻腔冲洗"</f>
        <v>鼻腔冲洗</v>
      </c>
      <c r="B719" s="1">
        <v>20</v>
      </c>
      <c r="C719" s="1" t="str">
        <f t="shared" si="209"/>
        <v>次</v>
      </c>
      <c r="D719" s="1" t="str">
        <f t="shared" si="206"/>
        <v>次</v>
      </c>
      <c r="E719" s="1" t="str">
        <f t="shared" si="210"/>
        <v>治疗费</v>
      </c>
    </row>
    <row r="720" spans="1:5">
      <c r="A720" s="1" t="str">
        <f>"鼻腔取活检术"</f>
        <v>鼻腔取活检术</v>
      </c>
      <c r="B720" s="1">
        <v>39</v>
      </c>
      <c r="C720" s="1" t="str">
        <f t="shared" si="209"/>
        <v>次</v>
      </c>
      <c r="D720" s="1" t="str">
        <f t="shared" si="206"/>
        <v>次</v>
      </c>
      <c r="E720" s="1" t="str">
        <f t="shared" si="210"/>
        <v>治疗费</v>
      </c>
    </row>
    <row r="721" spans="1:5">
      <c r="A721" s="1" t="str">
        <f>"上颌窦穿刺术"</f>
        <v>上颌窦穿刺术</v>
      </c>
      <c r="B721" s="1">
        <v>39</v>
      </c>
      <c r="C721" s="1" t="str">
        <f t="shared" si="209"/>
        <v>次</v>
      </c>
      <c r="D721" s="1" t="str">
        <f t="shared" si="206"/>
        <v>次</v>
      </c>
      <c r="E721" s="1" t="str">
        <f t="shared" si="210"/>
        <v>治疗费</v>
      </c>
    </row>
    <row r="722" spans="1:5">
      <c r="A722" s="1" t="str">
        <f>"鼻咽部活检术"</f>
        <v>鼻咽部活检术</v>
      </c>
      <c r="B722" s="1">
        <v>39</v>
      </c>
      <c r="C722" s="1" t="str">
        <f t="shared" si="209"/>
        <v>次</v>
      </c>
      <c r="D722" s="1" t="str">
        <f t="shared" si="206"/>
        <v>次</v>
      </c>
      <c r="E722" s="1" t="str">
        <f t="shared" si="210"/>
        <v>治疗费</v>
      </c>
    </row>
    <row r="723" spans="1:5">
      <c r="A723" s="1" t="str">
        <f>"前鼻孔填塞"</f>
        <v>前鼻孔填塞</v>
      </c>
      <c r="B723" s="1">
        <v>33</v>
      </c>
      <c r="C723" s="1" t="str">
        <f t="shared" si="209"/>
        <v>次</v>
      </c>
      <c r="D723" s="1" t="str">
        <f t="shared" si="206"/>
        <v>次</v>
      </c>
      <c r="E723" s="1" t="str">
        <f t="shared" si="210"/>
        <v>治疗费</v>
      </c>
    </row>
    <row r="724" spans="1:5">
      <c r="A724" s="1" t="str">
        <f>"后鼻孔填塞"</f>
        <v>后鼻孔填塞</v>
      </c>
      <c r="B724" s="1">
        <v>39</v>
      </c>
      <c r="C724" s="1" t="str">
        <f t="shared" si="209"/>
        <v>次</v>
      </c>
      <c r="D724" s="1" t="str">
        <f t="shared" si="206"/>
        <v>次</v>
      </c>
      <c r="E724" s="1" t="str">
        <f t="shared" si="210"/>
        <v>治疗费</v>
      </c>
    </row>
    <row r="725" spans="1:5">
      <c r="A725" s="1" t="str">
        <f>"鼻异物取出"</f>
        <v>鼻异物取出</v>
      </c>
      <c r="B725" s="1">
        <v>20</v>
      </c>
      <c r="C725" s="1" t="str">
        <f t="shared" si="209"/>
        <v>次</v>
      </c>
      <c r="D725" s="1" t="str">
        <f t="shared" si="206"/>
        <v>次</v>
      </c>
      <c r="E725" s="1" t="str">
        <f t="shared" si="210"/>
        <v>治疗费</v>
      </c>
    </row>
    <row r="726" spans="1:5">
      <c r="A726" s="1" t="str">
        <f>"鼻部特殊治疗"</f>
        <v>鼻部特殊治疗</v>
      </c>
      <c r="B726" s="1">
        <v>33</v>
      </c>
      <c r="C726" s="1" t="str">
        <f t="shared" si="209"/>
        <v>次</v>
      </c>
      <c r="D726" s="1" t="str">
        <f t="shared" si="206"/>
        <v>次</v>
      </c>
      <c r="E726" s="1" t="str">
        <f t="shared" si="210"/>
        <v>治疗费</v>
      </c>
    </row>
    <row r="727" spans="1:5">
      <c r="A727" s="1" t="str">
        <f>"鼻出血粘膜药物烧灼"</f>
        <v>鼻出血粘膜药物烧灼</v>
      </c>
      <c r="B727" s="1">
        <v>13</v>
      </c>
      <c r="C727" s="1" t="str">
        <f t="shared" si="209"/>
        <v>次</v>
      </c>
      <c r="D727" s="1" t="str">
        <f t="shared" si="206"/>
        <v>次</v>
      </c>
      <c r="E727" s="1" t="str">
        <f t="shared" si="210"/>
        <v>治疗费</v>
      </c>
    </row>
    <row r="728" spans="1:5">
      <c r="A728" s="1" t="str">
        <f>"间接鼻咽镜检查"</f>
        <v>间接鼻咽镜检查</v>
      </c>
      <c r="B728" s="1">
        <v>20</v>
      </c>
      <c r="C728" s="1" t="str">
        <f t="shared" si="209"/>
        <v>次</v>
      </c>
      <c r="D728" s="1" t="str">
        <f t="shared" si="206"/>
        <v>次</v>
      </c>
      <c r="E728" s="1" t="str">
        <f>"检查费"</f>
        <v>检查费</v>
      </c>
    </row>
    <row r="729" spans="1:5">
      <c r="A729" s="1" t="str">
        <f>"硬性鼻咽镜检查"</f>
        <v>硬性鼻咽镜检查</v>
      </c>
      <c r="B729" s="1">
        <v>26</v>
      </c>
      <c r="C729" s="1" t="str">
        <f t="shared" si="209"/>
        <v>次</v>
      </c>
      <c r="D729" s="1" t="str">
        <f t="shared" si="206"/>
        <v>次</v>
      </c>
      <c r="E729" s="1" t="str">
        <f t="shared" ref="E729:E732" si="211">"治疗费"</f>
        <v>治疗费</v>
      </c>
    </row>
    <row r="730" spans="1:5">
      <c r="A730" s="1" t="str">
        <f>"间接喉镜检查"</f>
        <v>间接喉镜检查</v>
      </c>
      <c r="B730" s="1">
        <v>7.8</v>
      </c>
      <c r="C730" s="1" t="str">
        <f t="shared" si="209"/>
        <v>次</v>
      </c>
      <c r="D730" s="1" t="str">
        <f t="shared" si="206"/>
        <v>次</v>
      </c>
      <c r="E730" s="1" t="str">
        <f>"检查费"</f>
        <v>检查费</v>
      </c>
    </row>
    <row r="731" spans="1:5">
      <c r="A731" s="1" t="str">
        <f>"喉上神经封闭术"</f>
        <v>喉上神经封闭术</v>
      </c>
      <c r="B731" s="1">
        <v>26</v>
      </c>
      <c r="C731" s="1" t="str">
        <f t="shared" si="209"/>
        <v>次</v>
      </c>
      <c r="D731" s="1" t="str">
        <f t="shared" si="206"/>
        <v>次</v>
      </c>
      <c r="E731" s="1" t="str">
        <f t="shared" si="211"/>
        <v>治疗费</v>
      </c>
    </row>
    <row r="732" spans="1:5">
      <c r="A732" s="1" t="str">
        <f>"咽部特殊治疗"</f>
        <v>咽部特殊治疗</v>
      </c>
      <c r="B732" s="1">
        <v>33</v>
      </c>
      <c r="C732" s="1" t="str">
        <f t="shared" si="209"/>
        <v>次</v>
      </c>
      <c r="D732" s="1" t="str">
        <f t="shared" si="206"/>
        <v>次</v>
      </c>
      <c r="E732" s="1" t="str">
        <f t="shared" si="211"/>
        <v>治疗费</v>
      </c>
    </row>
    <row r="733" spans="1:5">
      <c r="A733" s="1" t="str">
        <f>"咽部特殊治疗指口咽部异物取出术"</f>
        <v>咽部特殊治疗指口咽部异物取出术</v>
      </c>
      <c r="B733" s="1">
        <v>13</v>
      </c>
      <c r="C733" s="1" t="str">
        <f>"次"</f>
        <v>次</v>
      </c>
      <c r="D733" s="1" t="str">
        <f>"次"</f>
        <v>次</v>
      </c>
      <c r="E733" s="1" t="str">
        <f>"治疗费"</f>
        <v>治疗费</v>
      </c>
    </row>
    <row r="734" spans="1:5">
      <c r="A734" s="1" t="str">
        <f>"全口牙病系统检查与治疗设计"</f>
        <v>全口牙病系统检查与治疗设计</v>
      </c>
      <c r="B734" s="1">
        <v>10</v>
      </c>
      <c r="C734" s="1" t="str">
        <f>"-"</f>
        <v>-</v>
      </c>
      <c r="D734" s="1" t="str">
        <f>"次"</f>
        <v>次</v>
      </c>
      <c r="E734" s="1" t="str">
        <f t="shared" ref="E734:E738" si="212">"检查费"</f>
        <v>检查费</v>
      </c>
    </row>
    <row r="735" spans="1:5">
      <c r="A735" s="1" t="str">
        <f>"咬合检查"</f>
        <v>咬合检查</v>
      </c>
      <c r="B735" s="1">
        <v>2.4</v>
      </c>
      <c r="C735" s="1" t="str">
        <f>"次"</f>
        <v>次</v>
      </c>
      <c r="D735" s="1" t="str">
        <f>"次"</f>
        <v>次</v>
      </c>
      <c r="E735" s="1" t="str">
        <f t="shared" si="212"/>
        <v>检查费</v>
      </c>
    </row>
    <row r="736" spans="1:5">
      <c r="A736" s="1" t="str">
        <f>"颌力测量检查"</f>
        <v>颌力测量检查</v>
      </c>
      <c r="B736" s="1">
        <v>12</v>
      </c>
      <c r="C736" s="1" t="str">
        <f>"-"</f>
        <v>-</v>
      </c>
      <c r="D736" s="1" t="str">
        <f>"次"</f>
        <v>次</v>
      </c>
      <c r="E736" s="1" t="str">
        <f>"治疗费"</f>
        <v>治疗费</v>
      </c>
    </row>
    <row r="737" spans="1:5">
      <c r="A737" s="1" t="str">
        <f>"咀嚼功能检查"</f>
        <v>咀嚼功能检查</v>
      </c>
      <c r="B737" s="1">
        <v>6</v>
      </c>
      <c r="C737" s="1" t="str">
        <f>"次"</f>
        <v>次</v>
      </c>
      <c r="D737" s="1" t="str">
        <f>"次"</f>
        <v>次</v>
      </c>
      <c r="E737" s="1" t="str">
        <f t="shared" si="212"/>
        <v>检查费</v>
      </c>
    </row>
    <row r="738" spans="1:5">
      <c r="A738" s="1" t="str">
        <f>"下颌运动检查"</f>
        <v>下颌运动检查</v>
      </c>
      <c r="B738" s="1">
        <v>3.6</v>
      </c>
      <c r="C738" s="1" t="str">
        <f>"次"</f>
        <v>次</v>
      </c>
      <c r="D738" s="1" t="str">
        <f>"次"</f>
        <v>次</v>
      </c>
      <c r="E738" s="1" t="str">
        <f t="shared" si="212"/>
        <v>检查费</v>
      </c>
    </row>
    <row r="739" spans="1:5">
      <c r="A739" s="1" t="str">
        <f>"口腔模型制备"</f>
        <v>口腔模型制备</v>
      </c>
      <c r="B739" s="1">
        <v>24</v>
      </c>
      <c r="C739" s="1" t="str">
        <f>"单颌"</f>
        <v>单颌</v>
      </c>
      <c r="D739" s="1" t="str">
        <f>"单颌"</f>
        <v>单颌</v>
      </c>
      <c r="E739" s="1" t="str">
        <f>"治疗费"</f>
        <v>治疗费</v>
      </c>
    </row>
    <row r="740" spans="1:5">
      <c r="A740" s="1" t="str">
        <f>"记存模型制备"</f>
        <v>记存模型制备</v>
      </c>
      <c r="B740" s="1">
        <v>3.6</v>
      </c>
      <c r="C740" s="1" t="str">
        <f>"单颌"</f>
        <v>单颌</v>
      </c>
      <c r="D740" s="1" t="str">
        <f>"单颌"</f>
        <v>单颌</v>
      </c>
      <c r="E740" s="1" t="str">
        <f>"治疗费"</f>
        <v>治疗费</v>
      </c>
    </row>
    <row r="741" spans="1:5">
      <c r="A741" s="1" t="str">
        <f>"面部模型制备"</f>
        <v>面部模型制备</v>
      </c>
      <c r="B741" s="1">
        <v>12</v>
      </c>
      <c r="C741" s="1" t="str">
        <f>"次"</f>
        <v>次</v>
      </c>
      <c r="D741" s="1" t="str">
        <f>"次"</f>
        <v>次</v>
      </c>
      <c r="E741" s="1" t="str">
        <f>"治疗费"</f>
        <v>治疗费</v>
      </c>
    </row>
    <row r="742" spans="1:5">
      <c r="A742" s="1" t="str">
        <f>"口腔内镜检查"</f>
        <v>口腔内镜检查</v>
      </c>
      <c r="B742" s="1">
        <v>12</v>
      </c>
      <c r="C742" s="1" t="str">
        <f>"-"</f>
        <v>-</v>
      </c>
      <c r="D742" s="1" t="str">
        <f t="shared" ref="D742:D745" si="213">"每牙"</f>
        <v>每牙</v>
      </c>
      <c r="E742" s="1" t="str">
        <f t="shared" ref="E742:E744" si="214">"检查费"</f>
        <v>检查费</v>
      </c>
    </row>
    <row r="743" spans="1:5">
      <c r="A743" s="1" t="str">
        <f>"牙髓活力检查"</f>
        <v>牙髓活力检查</v>
      </c>
      <c r="B743" s="1">
        <v>2.4</v>
      </c>
      <c r="C743" s="1" t="str">
        <f>"每牙"</f>
        <v>每牙</v>
      </c>
      <c r="D743" s="1" t="str">
        <f t="shared" si="213"/>
        <v>每牙</v>
      </c>
      <c r="E743" s="1" t="str">
        <f t="shared" si="214"/>
        <v>检查费</v>
      </c>
    </row>
    <row r="744" spans="1:5">
      <c r="A744" s="1" t="str">
        <f>"根管长度测量"</f>
        <v>根管长度测量</v>
      </c>
      <c r="B744" s="1">
        <v>4.8</v>
      </c>
      <c r="C744" s="1" t="str">
        <f>"每根管"</f>
        <v>每根管</v>
      </c>
      <c r="D744" s="1" t="str">
        <f>"每根管"</f>
        <v>每根管</v>
      </c>
      <c r="E744" s="1" t="str">
        <f t="shared" si="214"/>
        <v>检查费</v>
      </c>
    </row>
    <row r="745" spans="1:5">
      <c r="A745" s="1" t="str">
        <f>"口腔X线一次成像(RVG)"</f>
        <v>口腔X线一次成像(RVG)</v>
      </c>
      <c r="B745" s="1">
        <v>30</v>
      </c>
      <c r="C745" s="1" t="str">
        <f>"每牙"</f>
        <v>每牙</v>
      </c>
      <c r="D745" s="1" t="str">
        <f t="shared" si="213"/>
        <v>每牙</v>
      </c>
      <c r="E745" s="1" t="str">
        <f>"放射费"</f>
        <v>放射费</v>
      </c>
    </row>
    <row r="746" spans="1:5">
      <c r="A746" s="1" t="str">
        <f>"龈沟液量测定"</f>
        <v>龈沟液量测定</v>
      </c>
      <c r="B746" s="1">
        <v>1.2</v>
      </c>
      <c r="C746" s="1" t="str">
        <f t="shared" ref="C746:C752" si="215">"次"</f>
        <v>次</v>
      </c>
      <c r="D746" s="1" t="str">
        <f t="shared" ref="D746:D748" si="216">"次"</f>
        <v>次</v>
      </c>
      <c r="E746" s="1" t="str">
        <f t="shared" ref="E746:E748" si="217">"检查费"</f>
        <v>检查费</v>
      </c>
    </row>
    <row r="747" spans="1:5">
      <c r="A747" s="1" t="str">
        <f>"咬合动度测定"</f>
        <v>咬合动度测定</v>
      </c>
      <c r="B747" s="1">
        <v>2.4</v>
      </c>
      <c r="C747" s="1" t="str">
        <f t="shared" si="215"/>
        <v>次</v>
      </c>
      <c r="D747" s="1" t="str">
        <f t="shared" si="216"/>
        <v>次</v>
      </c>
      <c r="E747" s="1" t="str">
        <f t="shared" si="217"/>
        <v>检查费</v>
      </c>
    </row>
    <row r="748" spans="1:5">
      <c r="A748" s="1" t="str">
        <f>"龈上菌斑检查"</f>
        <v>龈上菌斑检查</v>
      </c>
      <c r="B748" s="1">
        <v>6</v>
      </c>
      <c r="C748" s="1" t="str">
        <f t="shared" ref="C748:C753" si="218">"-"</f>
        <v>-</v>
      </c>
      <c r="D748" s="1" t="str">
        <f t="shared" si="216"/>
        <v>次</v>
      </c>
      <c r="E748" s="1" t="str">
        <f t="shared" si="217"/>
        <v>检查费</v>
      </c>
    </row>
    <row r="749" spans="1:5">
      <c r="A749" s="1" t="str">
        <f>"带环制备"</f>
        <v>带环制备</v>
      </c>
      <c r="B749" s="1">
        <v>6</v>
      </c>
      <c r="C749" s="1" t="str">
        <f>"每根"</f>
        <v>每根</v>
      </c>
      <c r="D749" s="1" t="str">
        <f>"每根"</f>
        <v>每根</v>
      </c>
      <c r="E749" s="1" t="str">
        <f t="shared" ref="E749:E757" si="219">"治疗费"</f>
        <v>治疗费</v>
      </c>
    </row>
    <row r="750" spans="1:5">
      <c r="A750" s="1" t="str">
        <f>"唇弓制备"</f>
        <v>唇弓制备</v>
      </c>
      <c r="B750" s="1">
        <v>18</v>
      </c>
      <c r="C750" s="1" t="str">
        <f t="shared" si="218"/>
        <v>-</v>
      </c>
      <c r="D750" s="1" t="str">
        <f>"根"</f>
        <v>根</v>
      </c>
      <c r="E750" s="1" t="str">
        <f t="shared" si="219"/>
        <v>治疗费</v>
      </c>
    </row>
    <row r="751" spans="1:5">
      <c r="A751" s="1" t="str">
        <f>"颞颌关节系统检查设计"</f>
        <v>颞颌关节系统检查设计</v>
      </c>
      <c r="B751" s="1">
        <v>12</v>
      </c>
      <c r="C751" s="1" t="str">
        <f t="shared" si="215"/>
        <v>次</v>
      </c>
      <c r="D751" s="1" t="str">
        <f t="shared" ref="D751:D758" si="220">"次"</f>
        <v>次</v>
      </c>
      <c r="E751" s="1" t="str">
        <f t="shared" si="219"/>
        <v>治疗费</v>
      </c>
    </row>
    <row r="752" spans="1:5">
      <c r="A752" s="1" t="str">
        <f>"错畸形初检"</f>
        <v>错畸形初检</v>
      </c>
      <c r="B752" s="1">
        <v>2.4</v>
      </c>
      <c r="C752" s="1" t="str">
        <f t="shared" si="215"/>
        <v>次</v>
      </c>
      <c r="D752" s="1" t="str">
        <f t="shared" si="220"/>
        <v>次</v>
      </c>
      <c r="E752" s="1" t="str">
        <f t="shared" si="219"/>
        <v>治疗费</v>
      </c>
    </row>
    <row r="753" spans="1:5">
      <c r="A753" s="1" t="str">
        <f>"错畸形治疗设计"</f>
        <v>错畸形治疗设计</v>
      </c>
      <c r="B753" s="1">
        <v>60</v>
      </c>
      <c r="C753" s="1" t="str">
        <f t="shared" si="218"/>
        <v>-</v>
      </c>
      <c r="D753" s="1" t="str">
        <f t="shared" si="220"/>
        <v>次</v>
      </c>
      <c r="E753" s="1" t="str">
        <f t="shared" si="219"/>
        <v>治疗费</v>
      </c>
    </row>
    <row r="754" spans="1:5">
      <c r="A754" s="1" t="str">
        <f>"固定矫治器复诊处置"</f>
        <v>固定矫治器复诊处置</v>
      </c>
      <c r="B754" s="1">
        <v>12</v>
      </c>
      <c r="C754" s="1" t="str">
        <f t="shared" ref="C754:C758" si="221">"次"</f>
        <v>次</v>
      </c>
      <c r="D754" s="1" t="str">
        <f t="shared" si="220"/>
        <v>次</v>
      </c>
      <c r="E754" s="1" t="str">
        <f t="shared" si="219"/>
        <v>治疗费</v>
      </c>
    </row>
    <row r="755" spans="1:5">
      <c r="A755" s="1" t="str">
        <f>"活动矫治器复诊处置"</f>
        <v>活动矫治器复诊处置</v>
      </c>
      <c r="B755" s="1">
        <v>6</v>
      </c>
      <c r="C755" s="1" t="str">
        <f t="shared" si="221"/>
        <v>次</v>
      </c>
      <c r="D755" s="1" t="str">
        <f t="shared" si="220"/>
        <v>次</v>
      </c>
      <c r="E755" s="1" t="str">
        <f t="shared" si="219"/>
        <v>治疗费</v>
      </c>
    </row>
    <row r="756" spans="1:5">
      <c r="A756" s="1" t="str">
        <f>"功能矫治器复诊处置"</f>
        <v>功能矫治器复诊处置</v>
      </c>
      <c r="B756" s="1">
        <v>6</v>
      </c>
      <c r="C756" s="1" t="str">
        <f t="shared" si="221"/>
        <v>次</v>
      </c>
      <c r="D756" s="1" t="str">
        <f t="shared" si="220"/>
        <v>次</v>
      </c>
      <c r="E756" s="1" t="str">
        <f t="shared" si="219"/>
        <v>治疗费</v>
      </c>
    </row>
    <row r="757" spans="1:5">
      <c r="A757" s="1" t="str">
        <f>"错畸形正中位检查"</f>
        <v>错畸形正中位检查</v>
      </c>
      <c r="B757" s="1">
        <v>48</v>
      </c>
      <c r="C757" s="1" t="str">
        <f t="shared" si="221"/>
        <v>次</v>
      </c>
      <c r="D757" s="1" t="str">
        <f t="shared" si="220"/>
        <v>次</v>
      </c>
      <c r="E757" s="1" t="str">
        <f t="shared" si="219"/>
        <v>治疗费</v>
      </c>
    </row>
    <row r="758" spans="1:5">
      <c r="A758" s="1" t="str">
        <f>"测色仪检查"</f>
        <v>测色仪检查</v>
      </c>
      <c r="B758" s="1">
        <v>4.8</v>
      </c>
      <c r="C758" s="1" t="str">
        <f t="shared" si="221"/>
        <v>次</v>
      </c>
      <c r="D758" s="1" t="str">
        <f t="shared" si="220"/>
        <v>次</v>
      </c>
      <c r="E758" s="1" t="str">
        <f>"检查费"</f>
        <v>检查费</v>
      </c>
    </row>
    <row r="759" spans="1:5">
      <c r="A759" s="1" t="str">
        <f>"氟防龋治疗"</f>
        <v>氟防龋治疗</v>
      </c>
      <c r="B759" s="1">
        <v>1.2</v>
      </c>
      <c r="C759" s="1" t="str">
        <f t="shared" ref="C759:C766" si="222">"每牙"</f>
        <v>每牙</v>
      </c>
      <c r="D759" s="1" t="str">
        <f t="shared" ref="D759:D766" si="223">"每牙"</f>
        <v>每牙</v>
      </c>
      <c r="E759" s="1" t="str">
        <f t="shared" ref="E759:E771" si="224">"治疗费"</f>
        <v>治疗费</v>
      </c>
    </row>
    <row r="760" spans="1:5">
      <c r="A760" s="1" t="str">
        <f>"氟防龋治疗(≤6周岁儿童)"</f>
        <v>氟防龋治疗(≤6周岁儿童)</v>
      </c>
      <c r="B760" s="1">
        <v>1.6</v>
      </c>
      <c r="C760" s="1" t="str">
        <f t="shared" si="222"/>
        <v>每牙</v>
      </c>
      <c r="D760" s="1" t="str">
        <f t="shared" si="223"/>
        <v>每牙</v>
      </c>
      <c r="E760" s="1" t="str">
        <f t="shared" si="224"/>
        <v>治疗费</v>
      </c>
    </row>
    <row r="761" spans="1:5">
      <c r="A761" s="1" t="str">
        <f>"牙脱敏治疗"</f>
        <v>牙脱敏治疗</v>
      </c>
      <c r="B761" s="1">
        <v>3.6</v>
      </c>
      <c r="C761" s="1" t="str">
        <f>"-"</f>
        <v>-</v>
      </c>
      <c r="D761" s="1" t="str">
        <f t="shared" si="223"/>
        <v>每牙</v>
      </c>
      <c r="E761" s="1" t="str">
        <f t="shared" si="224"/>
        <v>治疗费</v>
      </c>
    </row>
    <row r="762" spans="1:5">
      <c r="A762" s="1" t="str">
        <f>"牙脱敏治疗(使用激光脱敏仪)"</f>
        <v>牙脱敏治疗(使用激光脱敏仪)</v>
      </c>
      <c r="B762" s="1">
        <v>6</v>
      </c>
      <c r="C762" s="1" t="str">
        <f>"-"</f>
        <v>-</v>
      </c>
      <c r="D762" s="1" t="str">
        <f t="shared" si="223"/>
        <v>每牙</v>
      </c>
      <c r="E762" s="1" t="str">
        <f t="shared" si="224"/>
        <v>治疗费</v>
      </c>
    </row>
    <row r="763" spans="1:5">
      <c r="A763" s="1" t="str">
        <f>"口腔局部冲洗上药"</f>
        <v>口腔局部冲洗上药</v>
      </c>
      <c r="B763" s="1">
        <v>1.2</v>
      </c>
      <c r="C763" s="1" t="str">
        <f t="shared" si="222"/>
        <v>每牙</v>
      </c>
      <c r="D763" s="1" t="str">
        <f t="shared" si="223"/>
        <v>每牙</v>
      </c>
      <c r="E763" s="1" t="str">
        <f t="shared" si="224"/>
        <v>治疗费</v>
      </c>
    </row>
    <row r="764" spans="1:5">
      <c r="A764" s="1" t="str">
        <f>"不良修复体拆除"</f>
        <v>不良修复体拆除</v>
      </c>
      <c r="B764" s="1">
        <v>4.8</v>
      </c>
      <c r="C764" s="1" t="str">
        <f t="shared" si="222"/>
        <v>每牙</v>
      </c>
      <c r="D764" s="1" t="str">
        <f t="shared" si="223"/>
        <v>每牙</v>
      </c>
      <c r="E764" s="1" t="str">
        <f t="shared" si="224"/>
        <v>治疗费</v>
      </c>
    </row>
    <row r="765" spans="1:5">
      <c r="A765" s="1" t="str">
        <f>"牙开窗助萌术"</f>
        <v>牙开窗助萌术</v>
      </c>
      <c r="B765" s="1">
        <v>36</v>
      </c>
      <c r="C765" s="1" t="str">
        <f t="shared" si="222"/>
        <v>每牙</v>
      </c>
      <c r="D765" s="1" t="str">
        <f t="shared" si="223"/>
        <v>每牙</v>
      </c>
      <c r="E765" s="1" t="str">
        <f t="shared" si="224"/>
        <v>治疗费</v>
      </c>
    </row>
    <row r="766" spans="1:5">
      <c r="A766" s="1" t="str">
        <f>"口腔局部止血"</f>
        <v>口腔局部止血</v>
      </c>
      <c r="B766" s="1">
        <v>12</v>
      </c>
      <c r="C766" s="1" t="str">
        <f t="shared" si="222"/>
        <v>每牙</v>
      </c>
      <c r="D766" s="1" t="str">
        <f t="shared" si="223"/>
        <v>每牙</v>
      </c>
      <c r="E766" s="1" t="str">
        <f t="shared" si="224"/>
        <v>治疗费</v>
      </c>
    </row>
    <row r="767" spans="1:5">
      <c r="A767" s="1" t="str">
        <f>"激光口内治疗"</f>
        <v>激光口内治疗</v>
      </c>
      <c r="B767" s="1">
        <v>18</v>
      </c>
      <c r="C767" s="1" t="str">
        <f>"每部位"</f>
        <v>每部位</v>
      </c>
      <c r="D767" s="1" t="str">
        <f>"每部位"</f>
        <v>每部位</v>
      </c>
      <c r="E767" s="1" t="str">
        <f t="shared" si="224"/>
        <v>治疗费</v>
      </c>
    </row>
    <row r="768" spans="1:5">
      <c r="A768" s="1" t="str">
        <f>"口内脓肿切开引流术"</f>
        <v>口内脓肿切开引流术</v>
      </c>
      <c r="B768" s="1">
        <v>9.6</v>
      </c>
      <c r="C768" s="1" t="str">
        <f>"例"</f>
        <v>例</v>
      </c>
      <c r="D768" s="1" t="str">
        <f>"例"</f>
        <v>例</v>
      </c>
      <c r="E768" s="1" t="str">
        <f t="shared" si="224"/>
        <v>治疗费</v>
      </c>
    </row>
    <row r="769" spans="1:5">
      <c r="A769" s="1" t="str">
        <f>"牙外伤结扎固定术"</f>
        <v>牙外伤结扎固定术</v>
      </c>
      <c r="B769" s="1">
        <v>36</v>
      </c>
      <c r="C769" s="1" t="str">
        <f>"-"</f>
        <v>-</v>
      </c>
      <c r="D769" s="1" t="str">
        <f>"每牙"</f>
        <v>每牙</v>
      </c>
      <c r="E769" s="1" t="str">
        <f t="shared" si="224"/>
        <v>治疗费</v>
      </c>
    </row>
    <row r="770" spans="1:5">
      <c r="A770" s="1" t="str">
        <f>"拆除固定装置"</f>
        <v>拆除固定装置</v>
      </c>
      <c r="B770" s="1">
        <v>3.6</v>
      </c>
      <c r="C770" s="1" t="str">
        <f>"-"</f>
        <v>-</v>
      </c>
      <c r="D770" s="1" t="str">
        <f>"每牙"</f>
        <v>每牙</v>
      </c>
      <c r="E770" s="1" t="str">
        <f t="shared" si="224"/>
        <v>治疗费</v>
      </c>
    </row>
    <row r="771" spans="1:5">
      <c r="A771" s="1" t="str">
        <f>"简单充填术"</f>
        <v>简单充填术</v>
      </c>
      <c r="B771" s="1">
        <v>14</v>
      </c>
      <c r="C771" s="1" t="str">
        <f>"每牙"</f>
        <v>每牙</v>
      </c>
      <c r="D771" s="1" t="str">
        <f>"每牙"</f>
        <v>每牙</v>
      </c>
      <c r="E771" s="1" t="str">
        <f t="shared" si="224"/>
        <v>治疗费</v>
      </c>
    </row>
    <row r="772" spans="1:5">
      <c r="A772" s="1" t="str">
        <f>"V类洞简单充填术"</f>
        <v>V类洞简单充填术</v>
      </c>
      <c r="B772" s="1">
        <v>14</v>
      </c>
      <c r="C772" s="1" t="str">
        <f>"项"</f>
        <v>项</v>
      </c>
      <c r="D772" s="1" t="str">
        <f>"项"</f>
        <v>项</v>
      </c>
      <c r="E772" s="1" t="str">
        <f>"治疗费"</f>
        <v>治疗费</v>
      </c>
    </row>
    <row r="773" spans="1:5">
      <c r="A773" s="1" t="str">
        <f>"复杂充填术"</f>
        <v>复杂充填术</v>
      </c>
      <c r="B773" s="1">
        <v>18</v>
      </c>
      <c r="C773" s="1" t="str">
        <f>"每牙"</f>
        <v>每牙</v>
      </c>
      <c r="D773" s="1" t="str">
        <f>"每牙"</f>
        <v>每牙</v>
      </c>
      <c r="E773" s="1" t="str">
        <f>"治疗费"</f>
        <v>治疗费</v>
      </c>
    </row>
    <row r="774" spans="1:5">
      <c r="A774" s="1" t="str">
        <f>"大面积缺损复杂充填术"</f>
        <v>大面积缺损复杂充填术</v>
      </c>
      <c r="B774" s="1">
        <v>18</v>
      </c>
      <c r="C774" s="1" t="str">
        <f>"项"</f>
        <v>项</v>
      </c>
      <c r="D774" s="1" t="str">
        <f>"项"</f>
        <v>项</v>
      </c>
      <c r="E774" s="1" t="str">
        <f>"治疗费"</f>
        <v>治疗费</v>
      </c>
    </row>
    <row r="775" spans="1:5">
      <c r="A775" s="1" t="str">
        <f>"II类洞复杂充填术"</f>
        <v>II类洞复杂充填术</v>
      </c>
      <c r="B775" s="1">
        <v>18</v>
      </c>
      <c r="C775" s="1" t="str">
        <f>"项"</f>
        <v>项</v>
      </c>
      <c r="D775" s="1" t="str">
        <f>"项"</f>
        <v>项</v>
      </c>
      <c r="E775" s="1" t="str">
        <f>"治疗费"</f>
        <v>治疗费</v>
      </c>
    </row>
    <row r="776" spans="1:5">
      <c r="A776" s="1" t="str">
        <f>"III类洞复杂充填术"</f>
        <v>III类洞复杂充填术</v>
      </c>
      <c r="B776" s="1">
        <v>15</v>
      </c>
      <c r="C776" s="1" t="str">
        <f>"项"</f>
        <v>项</v>
      </c>
      <c r="D776" s="1" t="str">
        <f>"项"</f>
        <v>项</v>
      </c>
      <c r="E776" s="1" t="str">
        <f>"治疗费"</f>
        <v>治疗费</v>
      </c>
    </row>
    <row r="777" spans="1:5">
      <c r="A777" s="1" t="str">
        <f>"IV类洞复杂充填术"</f>
        <v>IV类洞复杂充填术</v>
      </c>
      <c r="B777" s="1">
        <v>15</v>
      </c>
      <c r="C777" s="1" t="str">
        <f>"项"</f>
        <v>项</v>
      </c>
      <c r="D777" s="1" t="str">
        <f>"项"</f>
        <v>项</v>
      </c>
      <c r="E777" s="1" t="str">
        <f>"治疗费"</f>
        <v>治疗费</v>
      </c>
    </row>
    <row r="778" spans="1:5">
      <c r="A778" s="1" t="str">
        <f>"牙体桩钉固位修复术"</f>
        <v>牙体桩钉固位修复术</v>
      </c>
      <c r="B778" s="1">
        <v>22</v>
      </c>
      <c r="C778" s="1" t="str">
        <f>"-"</f>
        <v>-</v>
      </c>
      <c r="D778" s="1" t="str">
        <f>"每牙"</f>
        <v>每牙</v>
      </c>
      <c r="E778" s="1" t="str">
        <f>"治疗费"</f>
        <v>治疗费</v>
      </c>
    </row>
    <row r="779" spans="1:5">
      <c r="A779" s="1" t="str">
        <f>"牙体缺损粘接修复术"</f>
        <v>牙体缺损粘接修复术</v>
      </c>
      <c r="B779" s="1">
        <v>22</v>
      </c>
      <c r="C779" s="1" t="str">
        <f>"每牙"</f>
        <v>每牙</v>
      </c>
      <c r="D779" s="1" t="str">
        <f>"每牙"</f>
        <v>每牙</v>
      </c>
      <c r="E779" s="1" t="str">
        <f>"治疗费"</f>
        <v>治疗费</v>
      </c>
    </row>
    <row r="780" spans="1:5">
      <c r="A780" s="1" t="str">
        <f>"充填体抛光术"</f>
        <v>充填体抛光术</v>
      </c>
      <c r="B780" s="1" t="str">
        <f>"0.6"</f>
        <v>0.6</v>
      </c>
      <c r="C780" s="1" t="str">
        <f>"-"</f>
        <v>-</v>
      </c>
      <c r="D780" s="1" t="str">
        <f>"每牙"</f>
        <v>每牙</v>
      </c>
      <c r="E780" s="1" t="str">
        <f>"治疗费"</f>
        <v>治疗费</v>
      </c>
    </row>
    <row r="781" spans="1:5">
      <c r="A781" s="1" t="str">
        <f>"前牙修复术"</f>
        <v>前牙修复术</v>
      </c>
      <c r="B781" s="1">
        <v>40</v>
      </c>
      <c r="C781" s="1" t="str">
        <f>"项"</f>
        <v>项</v>
      </c>
      <c r="D781" s="1" t="str">
        <f>"项"</f>
        <v>项</v>
      </c>
      <c r="E781" s="1" t="str">
        <f>"治疗费"</f>
        <v>治疗费</v>
      </c>
    </row>
    <row r="782" spans="1:5">
      <c r="A782" s="1" t="str">
        <f>"树脂嵌体修复术"</f>
        <v>树脂嵌体修复术</v>
      </c>
      <c r="B782" s="1">
        <v>24</v>
      </c>
      <c r="C782" s="1" t="str">
        <f>"-"</f>
        <v>-</v>
      </c>
      <c r="D782" s="1" t="str">
        <f>"每牙"</f>
        <v>每牙</v>
      </c>
      <c r="E782" s="1" t="str">
        <f>"治疗费"</f>
        <v>治疗费</v>
      </c>
    </row>
    <row r="783" spans="1:5">
      <c r="A783" s="1" t="str">
        <f>"牙齿漂白术"</f>
        <v>牙齿漂白术</v>
      </c>
      <c r="B783" s="1">
        <v>45</v>
      </c>
      <c r="C783" s="1" t="str">
        <f>"项"</f>
        <v>项</v>
      </c>
      <c r="D783" s="1" t="str">
        <f>"每牙"</f>
        <v>每牙</v>
      </c>
      <c r="E783" s="1" t="str">
        <f>"治疗费(含材料费)"</f>
        <v>治疗费(含材料费)</v>
      </c>
    </row>
    <row r="784" spans="1:5">
      <c r="A784" s="1" t="str">
        <f>"盖髓术"</f>
        <v>盖髓术</v>
      </c>
      <c r="B784" s="1">
        <v>4.8</v>
      </c>
      <c r="C784" s="1" t="str">
        <f>"每牙"</f>
        <v>每牙</v>
      </c>
      <c r="D784" s="1" t="str">
        <f>"每牙"</f>
        <v>每牙</v>
      </c>
      <c r="E784" s="1" t="str">
        <f>"治疗费"</f>
        <v>治疗费</v>
      </c>
    </row>
    <row r="785" spans="1:5">
      <c r="A785" s="1" t="str">
        <f>"牙髓失活术"</f>
        <v>牙髓失活术</v>
      </c>
      <c r="B785" s="1">
        <v>24</v>
      </c>
      <c r="C785" s="1" t="str">
        <f>"每牙"</f>
        <v>每牙</v>
      </c>
      <c r="D785" s="1" t="str">
        <f>"每牙"</f>
        <v>每牙</v>
      </c>
      <c r="E785" s="1" t="str">
        <f t="shared" ref="E785:E790" si="225">"治疗费"</f>
        <v>治疗费</v>
      </c>
    </row>
    <row r="786" spans="1:5">
      <c r="A786" s="1" t="str">
        <f>"开髓引流术"</f>
        <v>开髓引流术</v>
      </c>
      <c r="B786" s="1">
        <v>24</v>
      </c>
      <c r="C786" s="1" t="str">
        <f>"每牙"</f>
        <v>每牙</v>
      </c>
      <c r="D786" s="1" t="str">
        <f>"每牙"</f>
        <v>每牙</v>
      </c>
      <c r="E786" s="1" t="str">
        <f t="shared" si="225"/>
        <v>治疗费</v>
      </c>
    </row>
    <row r="787" spans="1:5">
      <c r="A787" s="1" t="str">
        <f>"干髓术"</f>
        <v>干髓术</v>
      </c>
      <c r="B787" s="1">
        <v>12</v>
      </c>
      <c r="C787" s="1" t="str">
        <f>"每牙"</f>
        <v>每牙</v>
      </c>
      <c r="D787" s="1" t="str">
        <f>"每牙"</f>
        <v>每牙</v>
      </c>
      <c r="E787" s="1" t="str">
        <f t="shared" si="225"/>
        <v>治疗费</v>
      </c>
    </row>
    <row r="788" spans="1:5">
      <c r="A788" s="1" t="str">
        <f>"牙髓摘除术"</f>
        <v>牙髓摘除术</v>
      </c>
      <c r="B788" s="1">
        <v>12</v>
      </c>
      <c r="C788" s="1" t="str">
        <f t="shared" ref="C788:C790" si="226">"每根管"</f>
        <v>每根管</v>
      </c>
      <c r="D788" s="1" t="str">
        <f>"每根管"</f>
        <v>每根管</v>
      </c>
      <c r="E788" s="1" t="str">
        <f t="shared" si="225"/>
        <v>治疗费</v>
      </c>
    </row>
    <row r="789" spans="1:5">
      <c r="A789" s="1" t="str">
        <f>"根管预备"</f>
        <v>根管预备</v>
      </c>
      <c r="B789" s="1">
        <v>30</v>
      </c>
      <c r="C789" s="1" t="str">
        <f t="shared" si="226"/>
        <v>每根管</v>
      </c>
      <c r="D789" s="1" t="str">
        <f>"每根管"</f>
        <v>每根管</v>
      </c>
      <c r="E789" s="1" t="str">
        <f t="shared" si="225"/>
        <v>治疗费</v>
      </c>
    </row>
    <row r="790" spans="1:5">
      <c r="A790" s="1" t="str">
        <f>"根管充填术"</f>
        <v>根管充填术</v>
      </c>
      <c r="B790" s="1">
        <v>30</v>
      </c>
      <c r="C790" s="1" t="str">
        <f t="shared" si="226"/>
        <v>每根管</v>
      </c>
      <c r="D790" s="1" t="str">
        <f>"每根管"</f>
        <v>每根管</v>
      </c>
      <c r="E790" s="1" t="str">
        <f t="shared" si="225"/>
        <v>治疗费</v>
      </c>
    </row>
    <row r="791" spans="1:5">
      <c r="A791" s="1" t="str">
        <f>"根管充填术（使用特殊仪器）"</f>
        <v>根管充填术（使用特殊仪器）</v>
      </c>
      <c r="B791" s="1">
        <v>42</v>
      </c>
      <c r="C791" s="1" t="str">
        <f t="shared" ref="C791:C793" si="227">"每根管"</f>
        <v>每根管</v>
      </c>
      <c r="D791" s="1" t="str">
        <f t="shared" ref="D791:D797" si="228">"每根管"</f>
        <v>每根管</v>
      </c>
      <c r="E791" s="1" t="str">
        <f t="shared" ref="E791:E798" si="229">"治疗费"</f>
        <v>治疗费</v>
      </c>
    </row>
    <row r="792" spans="1:5">
      <c r="A792" s="1" t="str">
        <f>"根管热塑牙胶垂直加压充填术"</f>
        <v>根管热塑牙胶垂直加压充填术</v>
      </c>
      <c r="B792" s="1">
        <v>75</v>
      </c>
      <c r="C792" s="1" t="str">
        <f t="shared" si="227"/>
        <v>每根管</v>
      </c>
      <c r="D792" s="1" t="str">
        <f t="shared" si="228"/>
        <v>每根管</v>
      </c>
      <c r="E792" s="1" t="str">
        <f t="shared" si="229"/>
        <v>治疗费</v>
      </c>
    </row>
    <row r="793" spans="1:5">
      <c r="A793" s="1" t="str">
        <f>"髓腔消毒术"</f>
        <v>髓腔消毒术</v>
      </c>
      <c r="B793" s="1">
        <v>12</v>
      </c>
      <c r="C793" s="1" t="str">
        <f t="shared" si="227"/>
        <v>每根管</v>
      </c>
      <c r="D793" s="1" t="str">
        <f t="shared" si="228"/>
        <v>每根管</v>
      </c>
      <c r="E793" s="1" t="str">
        <f t="shared" si="229"/>
        <v>治疗费</v>
      </c>
    </row>
    <row r="794" spans="1:5">
      <c r="A794" s="1" t="str">
        <f>"根管消毒术"</f>
        <v>根管消毒术</v>
      </c>
      <c r="B794" s="1">
        <v>12</v>
      </c>
      <c r="C794" s="1" t="str">
        <f>"次"</f>
        <v>次</v>
      </c>
      <c r="D794" s="1" t="str">
        <f t="shared" si="228"/>
        <v>每根管</v>
      </c>
      <c r="E794" s="1" t="str">
        <f t="shared" si="229"/>
        <v>治疗费</v>
      </c>
    </row>
    <row r="795" spans="1:5">
      <c r="A795" s="1" t="str">
        <f>"髓腔消毒术（使用特殊仪器(微波仪等)）"</f>
        <v>髓腔消毒术（使用特殊仪器(微波仪等)）</v>
      </c>
      <c r="B795" s="1">
        <v>18</v>
      </c>
      <c r="C795" s="1" t="str">
        <f>"每根管"</f>
        <v>每根管</v>
      </c>
      <c r="D795" s="1" t="str">
        <f t="shared" si="228"/>
        <v>每根管</v>
      </c>
      <c r="E795" s="1" t="str">
        <f t="shared" si="229"/>
        <v>治疗费</v>
      </c>
    </row>
    <row r="796" spans="1:5">
      <c r="A796" s="1" t="str">
        <f>"牙髓塑化治疗术"</f>
        <v>牙髓塑化治疗术</v>
      </c>
      <c r="B796" s="1">
        <v>36</v>
      </c>
      <c r="C796" s="1" t="str">
        <f>"-"</f>
        <v>-</v>
      </c>
      <c r="D796" s="1" t="str">
        <f t="shared" si="228"/>
        <v>每根管</v>
      </c>
      <c r="E796" s="1" t="str">
        <f t="shared" si="229"/>
        <v>治疗费</v>
      </c>
    </row>
    <row r="797" spans="1:5">
      <c r="A797" s="1" t="str">
        <f>"根管再治疗术"</f>
        <v>根管再治疗术</v>
      </c>
      <c r="B797" s="1">
        <v>36</v>
      </c>
      <c r="C797" s="1" t="str">
        <f>"每根管"</f>
        <v>每根管</v>
      </c>
      <c r="D797" s="1" t="str">
        <f t="shared" si="228"/>
        <v>每根管</v>
      </c>
      <c r="E797" s="1" t="str">
        <f t="shared" si="229"/>
        <v>治疗费</v>
      </c>
    </row>
    <row r="798" spans="1:5">
      <c r="A798" s="1" t="str">
        <f>"根管扩通术"</f>
        <v>根管扩通术</v>
      </c>
      <c r="B798" s="1">
        <v>36</v>
      </c>
      <c r="C798" s="1" t="str">
        <f>"项"</f>
        <v>项</v>
      </c>
      <c r="D798" s="1" t="str">
        <f>"项"</f>
        <v>项</v>
      </c>
      <c r="E798" s="1" t="str">
        <f t="shared" si="229"/>
        <v>治疗费</v>
      </c>
    </row>
    <row r="799" spans="1:5">
      <c r="A799" s="1" t="str">
        <f>"根管内充物取出术"</f>
        <v>根管内充物取出术</v>
      </c>
      <c r="B799" s="1">
        <v>36</v>
      </c>
      <c r="C799" s="1" t="str">
        <f>"项"</f>
        <v>项</v>
      </c>
      <c r="D799" s="1" t="str">
        <f>"项"</f>
        <v>项</v>
      </c>
      <c r="E799" s="1" t="str">
        <f t="shared" ref="E799:E803" si="230">"治疗费"</f>
        <v>治疗费</v>
      </c>
    </row>
    <row r="800" spans="1:5">
      <c r="A800" s="1" t="str">
        <f>"根管内固定术"</f>
        <v>根管内固定术</v>
      </c>
      <c r="B800" s="1">
        <v>36</v>
      </c>
      <c r="C800" s="1" t="str">
        <f t="shared" ref="C800:C803" si="231">"-"</f>
        <v>-</v>
      </c>
      <c r="D800" s="1" t="str">
        <f>"每根管"</f>
        <v>每根管</v>
      </c>
      <c r="E800" s="1" t="str">
        <f t="shared" si="230"/>
        <v>治疗费</v>
      </c>
    </row>
    <row r="801" spans="1:5">
      <c r="A801" s="1" t="str">
        <f>"劈裂牙治疗"</f>
        <v>劈裂牙治疗</v>
      </c>
      <c r="B801" s="1">
        <v>24</v>
      </c>
      <c r="C801" s="1" t="str">
        <f>"每牙"</f>
        <v>每牙</v>
      </c>
      <c r="D801" s="1" t="str">
        <f>"每牙"</f>
        <v>每牙</v>
      </c>
      <c r="E801" s="1" t="str">
        <f t="shared" si="230"/>
        <v>治疗费</v>
      </c>
    </row>
    <row r="802" spans="1:5">
      <c r="A802" s="1" t="str">
        <f>"后牙纵折固定术"</f>
        <v>后牙纵折固定术</v>
      </c>
      <c r="B802" s="1">
        <v>7.2</v>
      </c>
      <c r="C802" s="1" t="str">
        <f t="shared" si="231"/>
        <v>-</v>
      </c>
      <c r="D802" s="1" t="str">
        <f>"每牙"</f>
        <v>每牙</v>
      </c>
      <c r="E802" s="1" t="str">
        <f t="shared" si="230"/>
        <v>治疗费</v>
      </c>
    </row>
    <row r="803" spans="1:5">
      <c r="A803" s="1" t="str">
        <f>"根尖诱导成形术"</f>
        <v>根尖诱导成形术</v>
      </c>
      <c r="B803" s="1">
        <v>48</v>
      </c>
      <c r="C803" s="1" t="str">
        <f t="shared" si="231"/>
        <v>-</v>
      </c>
      <c r="D803" s="1" t="str">
        <f>"每根管"</f>
        <v>每根管</v>
      </c>
      <c r="E803" s="1" t="str">
        <f t="shared" si="230"/>
        <v>治疗费</v>
      </c>
    </row>
    <row r="804" spans="1:5">
      <c r="A804" s="1" t="str">
        <f>"窝沟封闭"</f>
        <v>窝沟封闭</v>
      </c>
      <c r="B804" s="1">
        <v>24</v>
      </c>
      <c r="C804" s="1" t="str">
        <f>"每牙"</f>
        <v>每牙</v>
      </c>
      <c r="D804" s="1" t="str">
        <f>"每牙"</f>
        <v>每牙</v>
      </c>
      <c r="E804" s="1" t="str">
        <f>"治疗费"</f>
        <v>治疗费</v>
      </c>
    </row>
    <row r="805" spans="1:5">
      <c r="A805" s="1" t="str">
        <f>"乳牙预成冠修复"</f>
        <v>乳牙预成冠修复</v>
      </c>
      <c r="B805" s="1">
        <v>84</v>
      </c>
      <c r="C805" s="1" t="str">
        <f t="shared" ref="C805:C810" si="232">"-"</f>
        <v>-</v>
      </c>
      <c r="D805" s="1" t="str">
        <f>"每牙"</f>
        <v>每牙</v>
      </c>
      <c r="E805" s="1" t="str">
        <f t="shared" ref="E805:E816" si="233">"治疗费"</f>
        <v>治疗费</v>
      </c>
    </row>
    <row r="806" spans="1:5">
      <c r="A806" s="1" t="str">
        <f>"儿童前牙树脂冠修复"</f>
        <v>儿童前牙树脂冠修复</v>
      </c>
      <c r="B806" s="1">
        <v>9.6</v>
      </c>
      <c r="C806" s="1" t="str">
        <f t="shared" si="232"/>
        <v>-</v>
      </c>
      <c r="D806" s="1" t="str">
        <f>"每牙"</f>
        <v>每牙</v>
      </c>
      <c r="E806" s="1" t="str">
        <f t="shared" si="233"/>
        <v>治疗费</v>
      </c>
    </row>
    <row r="807" spans="1:5">
      <c r="A807" s="1" t="str">
        <f>"制戴固定式缺隙保持器"</f>
        <v>制戴固定式缺隙保持器</v>
      </c>
      <c r="B807" s="1">
        <v>26</v>
      </c>
      <c r="C807" s="1" t="str">
        <f>"项"</f>
        <v>项</v>
      </c>
      <c r="D807" s="1" t="str">
        <f t="shared" ref="D807:D809" si="234">"次"</f>
        <v>次</v>
      </c>
      <c r="E807" s="1" t="str">
        <f t="shared" si="233"/>
        <v>治疗费</v>
      </c>
    </row>
    <row r="808" spans="1:5">
      <c r="A808" s="1" t="str">
        <f>"制戴活动式缺隙保持器"</f>
        <v>制戴活动式缺隙保持器</v>
      </c>
      <c r="B808" s="1">
        <v>42</v>
      </c>
      <c r="C808" s="1" t="str">
        <f>"项"</f>
        <v>项</v>
      </c>
      <c r="D808" s="1" t="str">
        <f t="shared" si="234"/>
        <v>次</v>
      </c>
      <c r="E808" s="1" t="str">
        <f t="shared" si="233"/>
        <v>治疗费</v>
      </c>
    </row>
    <row r="809" spans="1:5">
      <c r="A809" s="1" t="str">
        <f>"制戴活动矫正器"</f>
        <v>制戴活动矫正器</v>
      </c>
      <c r="B809" s="1">
        <v>54</v>
      </c>
      <c r="C809" s="1" t="str">
        <f t="shared" si="232"/>
        <v>-</v>
      </c>
      <c r="D809" s="1" t="str">
        <f t="shared" si="234"/>
        <v>次</v>
      </c>
      <c r="E809" s="1" t="str">
        <f t="shared" si="233"/>
        <v>治疗费</v>
      </c>
    </row>
    <row r="810" spans="1:5">
      <c r="A810" s="1" t="str">
        <f>"前牙根折根牵引"</f>
        <v>前牙根折根牵引</v>
      </c>
      <c r="B810" s="1">
        <v>78</v>
      </c>
      <c r="C810" s="1" t="str">
        <f t="shared" si="232"/>
        <v>-</v>
      </c>
      <c r="D810" s="1" t="str">
        <f t="shared" ref="D810:D816" si="235">"每牙"</f>
        <v>每牙</v>
      </c>
      <c r="E810" s="1" t="str">
        <f t="shared" si="233"/>
        <v>治疗费</v>
      </c>
    </row>
    <row r="811" spans="1:5">
      <c r="A811" s="1" t="str">
        <f>"钙化桥打通术"</f>
        <v>钙化桥打通术</v>
      </c>
      <c r="B811" s="1">
        <v>24</v>
      </c>
      <c r="C811" s="1" t="str">
        <f>"每根管"</f>
        <v>每根管</v>
      </c>
      <c r="D811" s="1" t="str">
        <f>"每根管"</f>
        <v>每根管</v>
      </c>
      <c r="E811" s="1" t="str">
        <f t="shared" si="233"/>
        <v>治疗费</v>
      </c>
    </row>
    <row r="812" spans="1:5">
      <c r="A812" s="1" t="str">
        <f>"全牙列垫固定术"</f>
        <v>全牙列垫固定术</v>
      </c>
      <c r="B812" s="1">
        <v>120</v>
      </c>
      <c r="C812" s="1" t="str">
        <f>"单颌"</f>
        <v>单颌</v>
      </c>
      <c r="D812" s="1" t="str">
        <f>"单颌"</f>
        <v>单颌</v>
      </c>
      <c r="E812" s="1" t="str">
        <f t="shared" si="233"/>
        <v>治疗费</v>
      </c>
    </row>
    <row r="813" spans="1:5">
      <c r="A813" s="1" t="str">
        <f>"活髓切断术"</f>
        <v>活髓切断术</v>
      </c>
      <c r="B813" s="1">
        <v>12</v>
      </c>
      <c r="C813" s="1" t="str">
        <f>"-"</f>
        <v>-</v>
      </c>
      <c r="D813" s="1" t="str">
        <f t="shared" si="235"/>
        <v>每牙</v>
      </c>
      <c r="E813" s="1" t="str">
        <f t="shared" si="233"/>
        <v>治疗费</v>
      </c>
    </row>
    <row r="814" spans="1:5">
      <c r="A814" s="1" t="str">
        <f>"洁治"</f>
        <v>洁治</v>
      </c>
      <c r="B814" s="1">
        <v>2.4</v>
      </c>
      <c r="C814" s="1" t="str">
        <f>"每牙"</f>
        <v>每牙</v>
      </c>
      <c r="D814" s="1" t="str">
        <f t="shared" si="235"/>
        <v>每牙</v>
      </c>
      <c r="E814" s="1" t="str">
        <f t="shared" si="233"/>
        <v>治疗费</v>
      </c>
    </row>
    <row r="815" spans="1:5">
      <c r="A815" s="1" t="str">
        <f>"龈下刮治"</f>
        <v>龈下刮治</v>
      </c>
      <c r="B815" s="1">
        <v>2.4</v>
      </c>
      <c r="C815" s="1" t="str">
        <f>"每牙"</f>
        <v>每牙</v>
      </c>
      <c r="D815" s="1" t="str">
        <f t="shared" si="235"/>
        <v>每牙</v>
      </c>
      <c r="E815" s="1" t="str">
        <f t="shared" si="233"/>
        <v>治疗费</v>
      </c>
    </row>
    <row r="816" spans="1:5">
      <c r="A816" s="1" t="str">
        <f>"牙周固定"</f>
        <v>牙周固定</v>
      </c>
      <c r="B816" s="1">
        <v>7.2</v>
      </c>
      <c r="C816" s="1" t="str">
        <f>"-"</f>
        <v>-</v>
      </c>
      <c r="D816" s="1" t="str">
        <f t="shared" si="235"/>
        <v>每牙</v>
      </c>
      <c r="E816" s="1" t="str">
        <f t="shared" si="233"/>
        <v>治疗费</v>
      </c>
    </row>
    <row r="817" spans="1:5">
      <c r="A817" s="1" t="str">
        <f>"去除牙周固定"</f>
        <v>去除牙周固定</v>
      </c>
      <c r="B817" s="1">
        <v>3.6</v>
      </c>
      <c r="C817" s="1" t="str">
        <f>"-"</f>
        <v>-</v>
      </c>
      <c r="D817" s="1" t="str">
        <f>"每牙"</f>
        <v>每牙</v>
      </c>
      <c r="E817" s="1" t="str">
        <f t="shared" ref="E817:E819" si="236">"治疗费"</f>
        <v>治疗费</v>
      </c>
    </row>
    <row r="818" spans="1:5">
      <c r="A818" s="1" t="str">
        <f>"牙面光洁术"</f>
        <v>牙面光洁术</v>
      </c>
      <c r="B818" s="1">
        <v>1.2</v>
      </c>
      <c r="C818" s="1" t="str">
        <f>"-"</f>
        <v>-</v>
      </c>
      <c r="D818" s="1" t="str">
        <f>"每牙"</f>
        <v>每牙</v>
      </c>
      <c r="E818" s="1" t="str">
        <f t="shared" si="236"/>
        <v>治疗费</v>
      </c>
    </row>
    <row r="819" spans="1:5">
      <c r="A819" s="1" t="str">
        <f>"牙龈保护剂塞治"</f>
        <v>牙龈保护剂塞治</v>
      </c>
      <c r="B819" s="1">
        <v>6</v>
      </c>
      <c r="C819" s="1" t="str">
        <f>"-"</f>
        <v>-</v>
      </c>
      <c r="D819" s="1" t="str">
        <f>"每牙"</f>
        <v>每牙</v>
      </c>
      <c r="E819" s="1" t="str">
        <f t="shared" si="236"/>
        <v>治疗费</v>
      </c>
    </row>
    <row r="820" spans="1:5">
      <c r="A820" s="1" t="str">
        <f>"急性坏死性龈炎局部清创"</f>
        <v>急性坏死性龈炎局部清创</v>
      </c>
      <c r="B820" s="1">
        <v>12</v>
      </c>
      <c r="C820" s="1" t="str">
        <f>"-"</f>
        <v>-</v>
      </c>
      <c r="D820" s="1" t="str">
        <f>"每牙"</f>
        <v>每牙</v>
      </c>
      <c r="E820" s="1" t="str">
        <f>"手术费"</f>
        <v>手术费</v>
      </c>
    </row>
    <row r="821" spans="1:5">
      <c r="A821" s="1" t="str">
        <f>"急性坏死性龈炎上药"</f>
        <v>急性坏死性龈炎上药</v>
      </c>
      <c r="B821" s="1">
        <v>12</v>
      </c>
      <c r="C821" s="1" t="str">
        <f>"项"</f>
        <v>项</v>
      </c>
      <c r="D821" s="1" t="str">
        <f>"项"</f>
        <v>项</v>
      </c>
      <c r="E821" s="1" t="str">
        <f t="shared" ref="E821:E832" si="237">"治疗费"</f>
        <v>治疗费</v>
      </c>
    </row>
    <row r="822" spans="1:5">
      <c r="A822" s="1" t="str">
        <f>"急性坏死性龈炎药物冲洗"</f>
        <v>急性坏死性龈炎药物冲洗</v>
      </c>
      <c r="B822" s="1">
        <v>12</v>
      </c>
      <c r="C822" s="1" t="str">
        <f>"项"</f>
        <v>项</v>
      </c>
      <c r="D822" s="1" t="str">
        <f>"项"</f>
        <v>项</v>
      </c>
      <c r="E822" s="1" t="str">
        <f t="shared" si="237"/>
        <v>治疗费</v>
      </c>
    </row>
    <row r="823" spans="1:5">
      <c r="A823" s="1" t="str">
        <f>"根面平整术"</f>
        <v>根面平整术</v>
      </c>
      <c r="B823" s="1">
        <v>8.4</v>
      </c>
      <c r="C823" s="1" t="str">
        <f>"每牙"</f>
        <v>每牙</v>
      </c>
      <c r="D823" s="1" t="str">
        <f>"每牙"</f>
        <v>每牙</v>
      </c>
      <c r="E823" s="1" t="str">
        <f t="shared" si="237"/>
        <v>治疗费</v>
      </c>
    </row>
    <row r="824" spans="1:5">
      <c r="A824" s="1" t="str">
        <f>"口腔粘膜雾化治疗"</f>
        <v>口腔粘膜雾化治疗</v>
      </c>
      <c r="B824" s="1">
        <v>6</v>
      </c>
      <c r="C824" s="1" t="str">
        <f t="shared" ref="C824:C826" si="238">"次"</f>
        <v>次</v>
      </c>
      <c r="D824" s="1" t="str">
        <f t="shared" ref="D824:D826" si="239">"次"</f>
        <v>次</v>
      </c>
      <c r="E824" s="1" t="str">
        <f t="shared" si="237"/>
        <v>治疗费</v>
      </c>
    </row>
    <row r="825" spans="1:5">
      <c r="A825" s="1" t="str">
        <f>"口腔粘膜病特殊治疗（红外线治疗、微波、冷冻、频谱等法）"</f>
        <v>口腔粘膜病特殊治疗（红外线治疗、微波、冷冻、频谱等法）</v>
      </c>
      <c r="B825" s="1">
        <v>6</v>
      </c>
      <c r="C825" s="1" t="str">
        <f t="shared" si="238"/>
        <v>次</v>
      </c>
      <c r="D825" s="1" t="str">
        <f t="shared" si="239"/>
        <v>次</v>
      </c>
      <c r="E825" s="1" t="str">
        <f t="shared" si="237"/>
        <v>治疗费</v>
      </c>
    </row>
    <row r="826" spans="1:5">
      <c r="A826" s="1" t="str">
        <f>"口腔粘膜病特殊治疗（等离子治疗）"</f>
        <v>口腔粘膜病特殊治疗（等离子治疗）</v>
      </c>
      <c r="B826" s="1">
        <v>12</v>
      </c>
      <c r="C826" s="1" t="str">
        <f t="shared" si="238"/>
        <v>次</v>
      </c>
      <c r="D826" s="1" t="str">
        <f t="shared" si="239"/>
        <v>次</v>
      </c>
      <c r="E826" s="1" t="str">
        <f t="shared" si="237"/>
        <v>治疗费</v>
      </c>
    </row>
    <row r="827" spans="1:5">
      <c r="A827" s="1" t="str">
        <f>"颞下颌关节复位术"</f>
        <v>颞下颌关节复位术</v>
      </c>
      <c r="B827" s="1">
        <v>42</v>
      </c>
      <c r="C827" s="1">
        <v>1</v>
      </c>
      <c r="D827" s="1" t="str">
        <f>"每次"</f>
        <v>每次</v>
      </c>
      <c r="E827" s="1" t="str">
        <f t="shared" si="237"/>
        <v>治疗费</v>
      </c>
    </row>
    <row r="828" spans="1:5">
      <c r="A828" s="1" t="str">
        <f>"冠周炎局部治疗"</f>
        <v>冠周炎局部治疗</v>
      </c>
      <c r="B828" s="1">
        <v>9.6</v>
      </c>
      <c r="C828" s="1" t="str">
        <f>"次"</f>
        <v>次</v>
      </c>
      <c r="D828" s="1" t="str">
        <f>"次"</f>
        <v>次</v>
      </c>
      <c r="E828" s="1" t="str">
        <f t="shared" si="237"/>
        <v>治疗费</v>
      </c>
    </row>
    <row r="829" spans="1:5">
      <c r="A829" s="1" t="str">
        <f>"干槽症换药"</f>
        <v>干槽症换药</v>
      </c>
      <c r="B829" s="1">
        <v>17</v>
      </c>
      <c r="C829" s="1" t="str">
        <f>"-"</f>
        <v>-</v>
      </c>
      <c r="D829" s="1" t="str">
        <f>"次"</f>
        <v>次</v>
      </c>
      <c r="E829" s="1" t="str">
        <f t="shared" si="237"/>
        <v>治疗费</v>
      </c>
    </row>
    <row r="830" spans="1:5">
      <c r="A830" s="1" t="str">
        <f>"口腔颌面部各类冷冻治疗"</f>
        <v>口腔颌面部各类冷冻治疗</v>
      </c>
      <c r="B830" s="1">
        <v>30</v>
      </c>
      <c r="C830" s="1" t="str">
        <f>"每部位"</f>
        <v>每部位</v>
      </c>
      <c r="D830" s="1" t="str">
        <f>"每部位"</f>
        <v>每部位</v>
      </c>
      <c r="E830" s="1" t="str">
        <f t="shared" si="237"/>
        <v>治疗费</v>
      </c>
    </row>
    <row r="831" spans="1:5">
      <c r="A831" s="1" t="str">
        <f>"颞颌关节腔内封闭治疗"</f>
        <v>颞颌关节腔内封闭治疗</v>
      </c>
      <c r="B831" s="1">
        <v>17</v>
      </c>
      <c r="C831" s="1" t="str">
        <f>"单侧"</f>
        <v>单侧</v>
      </c>
      <c r="D831" s="1" t="str">
        <f>"单侧"</f>
        <v>单侧</v>
      </c>
      <c r="E831" s="1" t="str">
        <f t="shared" si="237"/>
        <v>治疗费</v>
      </c>
    </row>
    <row r="832" spans="1:5">
      <c r="A832" s="1" t="str">
        <f>"调磨合(代)垫"</f>
        <v>调磨合(代)垫</v>
      </c>
      <c r="B832" s="1">
        <v>6</v>
      </c>
      <c r="C832" s="1">
        <v>1</v>
      </c>
      <c r="D832" s="1" t="str">
        <f>"每次"</f>
        <v>每次</v>
      </c>
      <c r="E832" s="1" t="str">
        <f t="shared" si="237"/>
        <v>治疗费</v>
      </c>
    </row>
    <row r="833" spans="1:5">
      <c r="A833" s="1" t="str">
        <f>"冠修复"</f>
        <v>冠修复</v>
      </c>
      <c r="B833" s="1">
        <v>96</v>
      </c>
      <c r="C833" s="1" t="str">
        <f t="shared" ref="C833:C838" si="240">"每牙"</f>
        <v>每牙</v>
      </c>
      <c r="D833" s="1" t="str">
        <f t="shared" ref="D833:D838" si="241">"每牙"</f>
        <v>每牙</v>
      </c>
      <c r="E833" s="1" t="str">
        <f t="shared" ref="E833:E839" si="242">"治疗费"</f>
        <v>治疗费</v>
      </c>
    </row>
    <row r="834" spans="1:5">
      <c r="A834" s="1" t="str">
        <f>"冠修复（种植体冠）"</f>
        <v>冠修复（种植体冠）</v>
      </c>
      <c r="B834" s="1">
        <v>120</v>
      </c>
      <c r="C834" s="1">
        <v>1</v>
      </c>
      <c r="D834" s="1" t="str">
        <f t="shared" si="241"/>
        <v>每牙</v>
      </c>
      <c r="E834" s="1" t="str">
        <f t="shared" si="242"/>
        <v>治疗费</v>
      </c>
    </row>
    <row r="835" spans="1:5">
      <c r="A835" s="1" t="str">
        <f>"冠修复(烤塑冠、塑胶冠)"</f>
        <v>冠修复(烤塑冠、塑胶冠)</v>
      </c>
      <c r="B835" s="1">
        <v>48</v>
      </c>
      <c r="C835" s="1" t="str">
        <f>"-"</f>
        <v>-</v>
      </c>
      <c r="D835" s="1" t="str">
        <f t="shared" si="241"/>
        <v>每牙</v>
      </c>
      <c r="E835" s="1" t="str">
        <f t="shared" si="242"/>
        <v>治疗费</v>
      </c>
    </row>
    <row r="836" spans="1:5">
      <c r="A836" s="1" t="str">
        <f>"嵌体修复"</f>
        <v>嵌体修复</v>
      </c>
      <c r="B836" s="1">
        <v>144</v>
      </c>
      <c r="C836" s="1" t="str">
        <f t="shared" si="240"/>
        <v>每牙</v>
      </c>
      <c r="D836" s="1" t="str">
        <f t="shared" si="241"/>
        <v>每牙</v>
      </c>
      <c r="E836" s="1" t="str">
        <f t="shared" si="242"/>
        <v>治疗费</v>
      </c>
    </row>
    <row r="837" spans="1:5">
      <c r="A837" s="1" t="str">
        <f>"桩核根帽修复"</f>
        <v>桩核根帽修复</v>
      </c>
      <c r="B837" s="1">
        <v>96</v>
      </c>
      <c r="C837" s="1" t="str">
        <f t="shared" si="240"/>
        <v>每牙</v>
      </c>
      <c r="D837" s="1" t="str">
        <f t="shared" si="241"/>
        <v>每牙</v>
      </c>
      <c r="E837" s="1" t="str">
        <f t="shared" si="242"/>
        <v>治疗费</v>
      </c>
    </row>
    <row r="838" spans="1:5">
      <c r="A838" s="1" t="str">
        <f>"固定桥"</f>
        <v>固定桥</v>
      </c>
      <c r="B838" s="1">
        <v>120</v>
      </c>
      <c r="C838" s="1" t="str">
        <f t="shared" si="240"/>
        <v>每牙</v>
      </c>
      <c r="D838" s="1" t="str">
        <f t="shared" si="241"/>
        <v>每牙</v>
      </c>
      <c r="E838" s="1" t="str">
        <f t="shared" si="242"/>
        <v>治疗费</v>
      </c>
    </row>
    <row r="839" spans="1:5">
      <c r="A839" s="1" t="str">
        <f>"单端固定桥"</f>
        <v>单端固定桥</v>
      </c>
      <c r="B839" s="1">
        <v>120</v>
      </c>
      <c r="C839" s="1" t="str">
        <f>"项"</f>
        <v>项</v>
      </c>
      <c r="D839" s="1" t="str">
        <f>"项"</f>
        <v>项</v>
      </c>
      <c r="E839" s="1" t="str">
        <f t="shared" si="242"/>
        <v>治疗费</v>
      </c>
    </row>
    <row r="840" spans="1:5">
      <c r="A840" s="1" t="str">
        <f>"固定修复计算机辅助设计"</f>
        <v>固定修复计算机辅助设计</v>
      </c>
      <c r="B840" s="1">
        <v>120</v>
      </c>
      <c r="C840" s="1" t="str">
        <f t="shared" ref="C840:C843" si="243">"次"</f>
        <v>次</v>
      </c>
      <c r="D840" s="1" t="str">
        <f t="shared" ref="D840:D843" si="244">"次"</f>
        <v>次</v>
      </c>
      <c r="E840" s="1" t="str">
        <f t="shared" ref="E840:E844" si="245">"治疗费"</f>
        <v>治疗费</v>
      </c>
    </row>
    <row r="841" spans="1:5">
      <c r="A841" s="1" t="str">
        <f>"咬合重建"</f>
        <v>咬合重建</v>
      </c>
      <c r="B841" s="1">
        <v>96</v>
      </c>
      <c r="C841" s="1" t="str">
        <f t="shared" si="243"/>
        <v>次</v>
      </c>
      <c r="D841" s="1" t="str">
        <f t="shared" si="244"/>
        <v>次</v>
      </c>
      <c r="E841" s="1" t="str">
        <f t="shared" si="245"/>
        <v>治疗费</v>
      </c>
    </row>
    <row r="842" spans="1:5">
      <c r="A842" s="1" t="str">
        <f>"复杂冠桥修复"</f>
        <v>复杂冠桥修复</v>
      </c>
      <c r="B842" s="1">
        <v>96</v>
      </c>
      <c r="C842" s="1" t="str">
        <f>"项"</f>
        <v>项</v>
      </c>
      <c r="D842" s="1" t="str">
        <f>"项"</f>
        <v>项</v>
      </c>
      <c r="E842" s="1" t="str">
        <f t="shared" si="245"/>
        <v>治疗费</v>
      </c>
    </row>
    <row r="843" spans="1:5">
      <c r="A843" s="1" t="str">
        <f>"咬合重建特殊设计费加收"</f>
        <v>咬合重建特殊设计费加收</v>
      </c>
      <c r="B843" s="1">
        <v>30</v>
      </c>
      <c r="C843" s="1" t="str">
        <f t="shared" si="243"/>
        <v>次</v>
      </c>
      <c r="D843" s="1" t="str">
        <f t="shared" si="244"/>
        <v>次</v>
      </c>
      <c r="E843" s="1" t="str">
        <f t="shared" si="245"/>
        <v>治疗费</v>
      </c>
    </row>
    <row r="844" spans="1:5">
      <c r="A844" s="1" t="str">
        <f>"粘结"</f>
        <v>粘结</v>
      </c>
      <c r="B844" s="1">
        <v>3.6</v>
      </c>
      <c r="C844" s="1" t="str">
        <f>"牙"</f>
        <v>牙</v>
      </c>
      <c r="D844" s="1" t="str">
        <f>"每牙"</f>
        <v>每牙</v>
      </c>
      <c r="E844" s="1" t="str">
        <f t="shared" si="245"/>
        <v>治疗费</v>
      </c>
    </row>
    <row r="845" spans="1:5">
      <c r="A845" s="1" t="str">
        <f>"活动桥"</f>
        <v>活动桥</v>
      </c>
      <c r="B845" s="1">
        <v>60</v>
      </c>
      <c r="C845" s="1" t="str">
        <f t="shared" ref="C845:C847" si="246">"每牙"</f>
        <v>每牙</v>
      </c>
      <c r="D845" s="1" t="str">
        <f>"每牙"</f>
        <v>每牙</v>
      </c>
      <c r="E845" s="1" t="str">
        <f t="shared" ref="E845:E847" si="247">"治疗费"</f>
        <v>治疗费</v>
      </c>
    </row>
    <row r="846" spans="1:5">
      <c r="A846" s="1" t="str">
        <f>"活动桥每增加牙、卡环加收"</f>
        <v>活动桥每增加牙、卡环加收</v>
      </c>
      <c r="B846" s="1">
        <v>24</v>
      </c>
      <c r="C846" s="1" t="str">
        <f t="shared" si="246"/>
        <v>每牙</v>
      </c>
      <c r="D846" s="1" t="str">
        <f>"每牙"</f>
        <v>每牙</v>
      </c>
      <c r="E846" s="1" t="str">
        <f t="shared" si="247"/>
        <v>治疗费</v>
      </c>
    </row>
    <row r="847" spans="1:5">
      <c r="A847" s="1" t="str">
        <f>"塑料可摘局部义齿"</f>
        <v>塑料可摘局部义齿</v>
      </c>
      <c r="B847" s="1">
        <v>96</v>
      </c>
      <c r="C847" s="1" t="str">
        <f t="shared" si="246"/>
        <v>每牙</v>
      </c>
      <c r="D847" s="1" t="str">
        <f>"每牙"</f>
        <v>每牙</v>
      </c>
      <c r="E847" s="1" t="str">
        <f t="shared" si="247"/>
        <v>治疗费</v>
      </c>
    </row>
    <row r="848" spans="1:5">
      <c r="A848" s="1" t="str">
        <f>"弹性隐形义齿"</f>
        <v>弹性隐形义齿</v>
      </c>
      <c r="B848" s="1">
        <v>96</v>
      </c>
      <c r="C848" s="1" t="str">
        <f t="shared" ref="C845:C851" si="248">"项"</f>
        <v>项</v>
      </c>
      <c r="D848" s="1" t="str">
        <f t="shared" ref="D845:D851" si="249">"项"</f>
        <v>项</v>
      </c>
      <c r="E848" s="1" t="str">
        <f t="shared" ref="E848:E851" si="250">"治疗费(含材料费)"</f>
        <v>治疗费(含材料费)</v>
      </c>
    </row>
    <row r="849" spans="1:5">
      <c r="A849" s="1" t="str">
        <f>"普通覆盖义齿"</f>
        <v>普通覆盖义齿</v>
      </c>
      <c r="B849" s="1">
        <v>96</v>
      </c>
      <c r="C849" s="1" t="str">
        <f t="shared" si="248"/>
        <v>项</v>
      </c>
      <c r="D849" s="1" t="str">
        <f t="shared" si="249"/>
        <v>项</v>
      </c>
      <c r="E849" s="1" t="str">
        <f t="shared" si="250"/>
        <v>治疗费(含材料费)</v>
      </c>
    </row>
    <row r="850" spans="1:5">
      <c r="A850" s="1" t="str">
        <f>"无卡环塑料可摘局部义齿"</f>
        <v>无卡环塑料可摘局部义齿</v>
      </c>
      <c r="B850" s="1">
        <v>96</v>
      </c>
      <c r="C850" s="1" t="str">
        <f t="shared" si="248"/>
        <v>项</v>
      </c>
      <c r="D850" s="1" t="str">
        <f t="shared" si="249"/>
        <v>项</v>
      </c>
      <c r="E850" s="1" t="str">
        <f t="shared" ref="E850:E857" si="251">"治疗费"</f>
        <v>治疗费</v>
      </c>
    </row>
    <row r="851" spans="1:5">
      <c r="A851" s="1" t="str">
        <f>"普通弯制卡环塑料可摘局部义齿"</f>
        <v>普通弯制卡环塑料可摘局部义齿</v>
      </c>
      <c r="B851" s="1">
        <v>96</v>
      </c>
      <c r="C851" s="1" t="str">
        <f t="shared" si="248"/>
        <v>项</v>
      </c>
      <c r="D851" s="1" t="str">
        <f t="shared" si="249"/>
        <v>项</v>
      </c>
      <c r="E851" s="1" t="str">
        <f t="shared" si="250"/>
        <v>治疗费(含材料费)</v>
      </c>
    </row>
    <row r="852" spans="1:5">
      <c r="A852" s="1" t="str">
        <f>"铸造可摘局部义齿"</f>
        <v>铸造可摘局部义齿</v>
      </c>
      <c r="B852" s="1">
        <v>240</v>
      </c>
      <c r="C852" s="1" t="str">
        <f>"每牙"</f>
        <v>每牙</v>
      </c>
      <c r="D852" s="1" t="str">
        <f t="shared" ref="D852:D854" si="252">"每牙"</f>
        <v>每牙</v>
      </c>
      <c r="E852" s="1" t="str">
        <f t="shared" si="251"/>
        <v>治疗费</v>
      </c>
    </row>
    <row r="853" spans="1:5">
      <c r="A853" s="1" t="str">
        <f>"美容义齿(四层色美容修复总义齿)"</f>
        <v>美容义齿(四层色美容修复总义齿)</v>
      </c>
      <c r="B853" s="1">
        <v>1000</v>
      </c>
      <c r="C853" s="1" t="str">
        <f>"每牙"</f>
        <v>每牙</v>
      </c>
      <c r="D853" s="1" t="str">
        <f t="shared" si="252"/>
        <v>每牙</v>
      </c>
      <c r="E853" s="1" t="str">
        <f t="shared" si="251"/>
        <v>治疗费</v>
      </c>
    </row>
    <row r="854" spans="1:5">
      <c r="A854" s="1" t="str">
        <f>"美容义齿（铸瓷全冠）"</f>
        <v>美容义齿（铸瓷全冠）</v>
      </c>
      <c r="B854" s="1">
        <v>1800</v>
      </c>
      <c r="C854" s="1" t="str">
        <f t="shared" ref="C854:C856" si="253">"/"</f>
        <v>/</v>
      </c>
      <c r="D854" s="1" t="str">
        <f t="shared" si="252"/>
        <v>每牙</v>
      </c>
      <c r="E854" s="1" t="str">
        <f t="shared" si="251"/>
        <v>治疗费</v>
      </c>
    </row>
    <row r="855" spans="1:5">
      <c r="A855" s="1" t="str">
        <f>"美容义齿（纯钛金属冠）"</f>
        <v>美容义齿（纯钛金属冠）</v>
      </c>
      <c r="B855" s="1">
        <v>900</v>
      </c>
      <c r="C855" s="1" t="str">
        <f t="shared" si="253"/>
        <v>/</v>
      </c>
      <c r="D855" s="1" t="str">
        <f>"例"</f>
        <v>例</v>
      </c>
      <c r="E855" s="1" t="str">
        <f t="shared" si="251"/>
        <v>治疗费</v>
      </c>
    </row>
    <row r="856" spans="1:5">
      <c r="A856" s="1" t="str">
        <f>"美容义齿(四层色美容修复总义齿(纯钛腭板))"</f>
        <v>美容义齿(四层色美容修复总义齿(纯钛腭板))</v>
      </c>
      <c r="B856" s="1">
        <v>750</v>
      </c>
      <c r="C856" s="1" t="str">
        <f t="shared" si="253"/>
        <v>/</v>
      </c>
      <c r="D856" s="1" t="str">
        <f>"单颌"</f>
        <v>单颌</v>
      </c>
      <c r="E856" s="1" t="str">
        <f t="shared" si="251"/>
        <v>治疗费</v>
      </c>
    </row>
    <row r="857" spans="1:5">
      <c r="A857" s="1" t="str">
        <f>"美容义齿（贱金属烧烤瓷冠）"</f>
        <v>美容义齿（贱金属烧烤瓷冠）</v>
      </c>
      <c r="B857" s="1">
        <v>400</v>
      </c>
      <c r="C857" s="1" t="str">
        <f>"-"</f>
        <v>-</v>
      </c>
      <c r="D857" s="1" t="str">
        <f>"每牙"</f>
        <v>每牙</v>
      </c>
      <c r="E857" s="1" t="str">
        <f t="shared" si="251"/>
        <v>治疗费</v>
      </c>
    </row>
    <row r="858" spans="1:5">
      <c r="A858" s="1" t="str">
        <f>"贵金属烤瓷冠"</f>
        <v>贵金属烤瓷冠</v>
      </c>
      <c r="B858" s="1">
        <v>1600</v>
      </c>
      <c r="C858" s="1" t="str">
        <f>"-"</f>
        <v>-</v>
      </c>
      <c r="D858" s="1" t="str">
        <f>"每牙"</f>
        <v>每牙</v>
      </c>
      <c r="E858" s="1" t="str">
        <f>"治疗费(含材料费)"</f>
        <v>治疗费(含材料费)</v>
      </c>
    </row>
    <row r="859" spans="1:5">
      <c r="A859" s="1" t="str">
        <f>"美容义齿（纯钛中支架）"</f>
        <v>美容义齿（纯钛中支架）</v>
      </c>
      <c r="B859" s="1">
        <v>1800</v>
      </c>
      <c r="C859" s="1" t="str">
        <f t="shared" ref="C859:C864" si="254">"/"</f>
        <v>/</v>
      </c>
      <c r="D859" s="1" t="str">
        <f>"每件"</f>
        <v>每件</v>
      </c>
      <c r="E859" s="1" t="str">
        <f t="shared" ref="E859:E864" si="255">"治疗费"</f>
        <v>治疗费</v>
      </c>
    </row>
    <row r="860" spans="1:5">
      <c r="A860" s="1" t="str">
        <f>"美容义齿(隐形义齿)"</f>
        <v>美容义齿(隐形义齿)</v>
      </c>
      <c r="B860" s="1">
        <v>250</v>
      </c>
      <c r="C860" s="1" t="str">
        <f>"项"</f>
        <v>项</v>
      </c>
      <c r="D860" s="1" t="str">
        <f>"项"</f>
        <v>项</v>
      </c>
      <c r="E860" s="1" t="str">
        <f>"治疗费(含材料费)"</f>
        <v>治疗费(含材料费)</v>
      </c>
    </row>
    <row r="861" spans="1:5">
      <c r="A861" s="1" t="str">
        <f>"美容义齿(四层色美容修复总义齿)"</f>
        <v>美容义齿(四层色美容修复总义齿)</v>
      </c>
      <c r="B861" s="1">
        <v>2500</v>
      </c>
      <c r="C861" s="1" t="str">
        <f>"-"</f>
        <v>-</v>
      </c>
      <c r="D861" s="1" t="str">
        <f t="shared" ref="D861:D882" si="256">"每牙"</f>
        <v>每牙</v>
      </c>
      <c r="E861" s="1" t="str">
        <f t="shared" si="255"/>
        <v>治疗费</v>
      </c>
    </row>
    <row r="862" spans="1:5">
      <c r="A862" s="1" t="str">
        <f>"纯钛支架(大)"</f>
        <v>纯钛支架(大)</v>
      </c>
      <c r="B862" s="1">
        <v>3500</v>
      </c>
      <c r="C862" s="1" t="str">
        <f t="shared" si="254"/>
        <v>/</v>
      </c>
      <c r="D862" s="1" t="str">
        <f t="shared" ref="D862:D864" si="257">"付"</f>
        <v>付</v>
      </c>
      <c r="E862" s="1" t="str">
        <f t="shared" si="255"/>
        <v>治疗费</v>
      </c>
    </row>
    <row r="863" spans="1:5">
      <c r="A863" s="1" t="str">
        <f>"纯钛支架(中)"</f>
        <v>纯钛支架(中)</v>
      </c>
      <c r="B863" s="1">
        <v>3000</v>
      </c>
      <c r="C863" s="1" t="str">
        <f t="shared" si="254"/>
        <v>/</v>
      </c>
      <c r="D863" s="1" t="str">
        <f t="shared" si="257"/>
        <v>付</v>
      </c>
      <c r="E863" s="1" t="str">
        <f t="shared" si="255"/>
        <v>治疗费</v>
      </c>
    </row>
    <row r="864" spans="1:5">
      <c r="A864" s="1" t="str">
        <f>"纯钛支架(小)"</f>
        <v>纯钛支架(小)</v>
      </c>
      <c r="B864" s="1">
        <v>2000</v>
      </c>
      <c r="C864" s="1" t="str">
        <f t="shared" si="254"/>
        <v>/</v>
      </c>
      <c r="D864" s="1" t="str">
        <f t="shared" si="257"/>
        <v>付</v>
      </c>
      <c r="E864" s="1" t="str">
        <f t="shared" si="255"/>
        <v>治疗费</v>
      </c>
    </row>
    <row r="865" spans="1:5">
      <c r="A865" s="1" t="str">
        <f>"美容义齿（金属烤瓷）"</f>
        <v>美容义齿（金属烤瓷）</v>
      </c>
      <c r="B865" s="1">
        <v>750</v>
      </c>
      <c r="C865" s="1" t="str">
        <f t="shared" ref="C865:C871" si="258">"每牙"</f>
        <v>每牙</v>
      </c>
      <c r="D865" s="1" t="str">
        <f t="shared" si="256"/>
        <v>每牙</v>
      </c>
      <c r="E865" s="1" t="str">
        <f t="shared" ref="E865:E871" si="259">"治疗费(含材料费)"</f>
        <v>治疗费(含材料费)</v>
      </c>
    </row>
    <row r="866" spans="1:5">
      <c r="A866" s="1" t="str">
        <f>"美容义齿（纤维桩核）"</f>
        <v>美容义齿（纤维桩核）</v>
      </c>
      <c r="B866" s="1">
        <v>400</v>
      </c>
      <c r="C866" s="1" t="str">
        <f t="shared" si="258"/>
        <v>每牙</v>
      </c>
      <c r="D866" s="1" t="str">
        <f t="shared" si="256"/>
        <v>每牙</v>
      </c>
      <c r="E866" s="1" t="str">
        <f t="shared" si="259"/>
        <v>治疗费(含材料费)</v>
      </c>
    </row>
    <row r="867" spans="1:5">
      <c r="A867" s="1" t="str">
        <f>"美容义齿（计算机全瓷）"</f>
        <v>美容义齿（计算机全瓷）</v>
      </c>
      <c r="B867" s="1">
        <v>3800</v>
      </c>
      <c r="C867" s="1" t="str">
        <f t="shared" si="258"/>
        <v>每牙</v>
      </c>
      <c r="D867" s="1" t="str">
        <f t="shared" si="256"/>
        <v>每牙</v>
      </c>
      <c r="E867" s="1" t="str">
        <f>"治疗费"</f>
        <v>治疗费</v>
      </c>
    </row>
    <row r="868" spans="1:5">
      <c r="A868" s="1" t="str">
        <f>"美容义齿（全瓷核）"</f>
        <v>美容义齿（全瓷核）</v>
      </c>
      <c r="B868" s="1">
        <v>1000</v>
      </c>
      <c r="C868" s="1" t="str">
        <f t="shared" si="258"/>
        <v>每牙</v>
      </c>
      <c r="D868" s="1" t="str">
        <f t="shared" si="256"/>
        <v>每牙</v>
      </c>
      <c r="E868" s="1" t="str">
        <f t="shared" si="259"/>
        <v>治疗费(含材料费)</v>
      </c>
    </row>
    <row r="869" spans="1:5">
      <c r="A869" s="1" t="str">
        <f>"美容义齿（计算机全瓷1）"</f>
        <v>美容义齿（计算机全瓷1）</v>
      </c>
      <c r="B869" s="1">
        <v>1800</v>
      </c>
      <c r="C869" s="1" t="str">
        <f t="shared" si="258"/>
        <v>每牙</v>
      </c>
      <c r="D869" s="1" t="str">
        <f t="shared" si="256"/>
        <v>每牙</v>
      </c>
      <c r="E869" s="1" t="str">
        <f t="shared" si="259"/>
        <v>治疗费(含材料费)</v>
      </c>
    </row>
    <row r="870" spans="1:5">
      <c r="A870" s="1" t="str">
        <f>"美容义齿（计算机全瓷2）"</f>
        <v>美容义齿（计算机全瓷2）</v>
      </c>
      <c r="B870" s="1">
        <v>2500</v>
      </c>
      <c r="C870" s="1" t="str">
        <f t="shared" si="258"/>
        <v>每牙</v>
      </c>
      <c r="D870" s="1" t="str">
        <f t="shared" si="256"/>
        <v>每牙</v>
      </c>
      <c r="E870" s="1" t="str">
        <f t="shared" si="259"/>
        <v>治疗费(含材料费)</v>
      </c>
    </row>
    <row r="871" spans="1:5">
      <c r="A871" s="1" t="str">
        <f>"美容义齿（计算机全瓷3）"</f>
        <v>美容义齿（计算机全瓷3）</v>
      </c>
      <c r="B871" s="1">
        <v>3000</v>
      </c>
      <c r="C871" s="1" t="str">
        <f t="shared" si="258"/>
        <v>每牙</v>
      </c>
      <c r="D871" s="1" t="str">
        <f t="shared" si="256"/>
        <v>每牙</v>
      </c>
      <c r="E871" s="1" t="str">
        <f t="shared" si="259"/>
        <v>治疗费(含材料费)</v>
      </c>
    </row>
    <row r="872" spans="1:5">
      <c r="A872" s="1" t="str">
        <f>"美容义齿(隐形义齿增加一牙加收)"</f>
        <v>美容义齿(隐形义齿增加一牙加收)</v>
      </c>
      <c r="B872" s="1">
        <v>50</v>
      </c>
      <c r="C872" s="1" t="str">
        <f>"/"</f>
        <v>/</v>
      </c>
      <c r="D872" s="1" t="str">
        <f t="shared" si="256"/>
        <v>每牙</v>
      </c>
      <c r="E872" s="1" t="str">
        <f>"治疗费"</f>
        <v>治疗费</v>
      </c>
    </row>
    <row r="873" spans="1:5">
      <c r="A873" s="1" t="str">
        <f>"美容义齿（计算机全瓷5）"</f>
        <v>美容义齿（计算机全瓷5）</v>
      </c>
      <c r="B873" s="1">
        <v>5000</v>
      </c>
      <c r="C873" s="1" t="str">
        <f t="shared" ref="C873:C878" si="260">"每牙"</f>
        <v>每牙</v>
      </c>
      <c r="D873" s="1" t="str">
        <f t="shared" si="256"/>
        <v>每牙</v>
      </c>
      <c r="E873" s="1" t="str">
        <f t="shared" ref="E873:E878" si="261">"治疗费(含材料费)"</f>
        <v>治疗费(含材料费)</v>
      </c>
    </row>
    <row r="874" spans="1:5">
      <c r="A874" s="1" t="str">
        <f>"美容义齿（纯钛大支架1）"</f>
        <v>美容义齿（纯钛大支架1）</v>
      </c>
      <c r="B874" s="1">
        <v>3000</v>
      </c>
      <c r="C874" s="1" t="str">
        <f t="shared" si="260"/>
        <v>每牙</v>
      </c>
      <c r="D874" s="1" t="str">
        <f t="shared" si="256"/>
        <v>每牙</v>
      </c>
      <c r="E874" s="1" t="str">
        <f t="shared" si="261"/>
        <v>治疗费(含材料费)</v>
      </c>
    </row>
    <row r="875" spans="1:5">
      <c r="A875" s="1" t="str">
        <f>"美容义齿（纯钛大支架2）"</f>
        <v>美容义齿（纯钛大支架2）</v>
      </c>
      <c r="B875" s="1">
        <v>5000</v>
      </c>
      <c r="C875" s="1" t="str">
        <f t="shared" si="260"/>
        <v>每牙</v>
      </c>
      <c r="D875" s="1" t="str">
        <f t="shared" si="256"/>
        <v>每牙</v>
      </c>
      <c r="E875" s="1" t="str">
        <f t="shared" si="261"/>
        <v>治疗费(含材料费)</v>
      </c>
    </row>
    <row r="876" spans="1:5">
      <c r="A876" s="1" t="str">
        <f>"美容义齿（瓷嵌体2）"</f>
        <v>美容义齿（瓷嵌体2）</v>
      </c>
      <c r="B876" s="1">
        <v>2000</v>
      </c>
      <c r="C876" s="1" t="str">
        <f t="shared" si="260"/>
        <v>每牙</v>
      </c>
      <c r="D876" s="1" t="str">
        <f t="shared" si="256"/>
        <v>每牙</v>
      </c>
      <c r="E876" s="1" t="str">
        <f t="shared" si="261"/>
        <v>治疗费(含材料费)</v>
      </c>
    </row>
    <row r="877" spans="1:5">
      <c r="A877" s="1" t="str">
        <f>"美容义齿（瓷嵌体3）"</f>
        <v>美容义齿（瓷嵌体3）</v>
      </c>
      <c r="B877" s="1">
        <v>3000</v>
      </c>
      <c r="C877" s="1" t="str">
        <f t="shared" si="260"/>
        <v>每牙</v>
      </c>
      <c r="D877" s="1" t="str">
        <f t="shared" si="256"/>
        <v>每牙</v>
      </c>
      <c r="E877" s="1" t="str">
        <f t="shared" si="261"/>
        <v>治疗费(含材料费)</v>
      </c>
    </row>
    <row r="878" spans="1:5">
      <c r="A878" s="1" t="str">
        <f>"美容义齿（四层色美容修复总义齿）"</f>
        <v>美容义齿（四层色美容修复总义齿）</v>
      </c>
      <c r="B878" s="1">
        <v>1200</v>
      </c>
      <c r="C878" s="1" t="str">
        <f t="shared" si="260"/>
        <v>每牙</v>
      </c>
      <c r="D878" s="1" t="str">
        <f t="shared" si="256"/>
        <v>每牙</v>
      </c>
      <c r="E878" s="1" t="str">
        <f t="shared" si="261"/>
        <v>治疗费(含材料费)</v>
      </c>
    </row>
    <row r="879" spans="1:5">
      <c r="A879" s="1" t="str">
        <f>"美容义齿（纯钛烤瓷冠）"</f>
        <v>美容义齿（纯钛烤瓷冠）</v>
      </c>
      <c r="B879" s="1">
        <v>1500</v>
      </c>
      <c r="C879" s="1" t="str">
        <f t="shared" ref="C879:C883" si="262">"/"</f>
        <v>/</v>
      </c>
      <c r="D879" s="1" t="str">
        <f t="shared" si="256"/>
        <v>每牙</v>
      </c>
      <c r="E879" s="1" t="str">
        <f t="shared" ref="E879:E898" si="263">"治疗费"</f>
        <v>治疗费</v>
      </c>
    </row>
    <row r="880" spans="1:5">
      <c r="A880" s="1" t="str">
        <f>"钴铬合金小支架1"</f>
        <v>钴铬合金小支架1</v>
      </c>
      <c r="B880" s="1">
        <v>450</v>
      </c>
      <c r="C880" s="1" t="str">
        <f>"每牙"</f>
        <v>每牙</v>
      </c>
      <c r="D880" s="1" t="str">
        <f t="shared" si="256"/>
        <v>每牙</v>
      </c>
      <c r="E880" s="1" t="str">
        <f>"治疗费(含材料费)"</f>
        <v>治疗费(含材料费)</v>
      </c>
    </row>
    <row r="881" spans="1:5">
      <c r="A881" s="1" t="str">
        <f>"美容义齿（贱金属烧烤瓷冠）"</f>
        <v>美容义齿（贱金属烧烤瓷冠）</v>
      </c>
      <c r="B881" s="1">
        <v>900</v>
      </c>
      <c r="C881" s="1" t="str">
        <f t="shared" si="262"/>
        <v>/</v>
      </c>
      <c r="D881" s="1" t="str">
        <f t="shared" si="256"/>
        <v>每牙</v>
      </c>
      <c r="E881" s="1" t="str">
        <f t="shared" si="263"/>
        <v>治疗费</v>
      </c>
    </row>
    <row r="882" spans="1:5">
      <c r="A882" s="1" t="str">
        <f>"美容义齿(隐形义齿)"</f>
        <v>美容义齿(隐形义齿)</v>
      </c>
      <c r="B882" s="1">
        <v>350</v>
      </c>
      <c r="C882" s="1" t="str">
        <f t="shared" si="262"/>
        <v>/</v>
      </c>
      <c r="D882" s="1" t="str">
        <f t="shared" si="256"/>
        <v>每牙</v>
      </c>
      <c r="E882" s="1" t="str">
        <f t="shared" si="263"/>
        <v>治疗费</v>
      </c>
    </row>
    <row r="883" spans="1:5">
      <c r="A883" s="1" t="str">
        <f>"美容义齿（纯钛大支架）"</f>
        <v>美容义齿（纯钛大支架）</v>
      </c>
      <c r="B883" s="1">
        <v>3500</v>
      </c>
      <c r="C883" s="1" t="str">
        <f t="shared" si="262"/>
        <v>/</v>
      </c>
      <c r="D883" s="1" t="str">
        <f>"每件"</f>
        <v>每件</v>
      </c>
      <c r="E883" s="1" t="str">
        <f t="shared" si="263"/>
        <v>治疗费</v>
      </c>
    </row>
    <row r="884" spans="1:5">
      <c r="A884" s="1" t="str">
        <f>"即刻义齿"</f>
        <v>即刻义齿</v>
      </c>
      <c r="B884" s="1">
        <v>19</v>
      </c>
      <c r="C884" s="1" t="str">
        <f>"-"</f>
        <v>-</v>
      </c>
      <c r="D884" s="1" t="str">
        <f t="shared" ref="D884:D891" si="264">"每牙"</f>
        <v>每牙</v>
      </c>
      <c r="E884" s="1" t="str">
        <f t="shared" si="263"/>
        <v>治疗费</v>
      </c>
    </row>
    <row r="885" spans="1:5">
      <c r="A885" s="1" t="str">
        <f>"附着体义齿"</f>
        <v>附着体义齿</v>
      </c>
      <c r="B885" s="1">
        <v>180</v>
      </c>
      <c r="C885" s="1" t="str">
        <f>"-"</f>
        <v>-</v>
      </c>
      <c r="D885" s="1" t="str">
        <f t="shared" si="264"/>
        <v>每牙</v>
      </c>
      <c r="E885" s="1" t="str">
        <f t="shared" si="263"/>
        <v>治疗费</v>
      </c>
    </row>
    <row r="886" spans="1:5">
      <c r="A886" s="1" t="str">
        <f>"活动固定联合修复"</f>
        <v>活动固定联合修复</v>
      </c>
      <c r="B886" s="1">
        <v>180</v>
      </c>
      <c r="C886" s="1" t="str">
        <f>"项"</f>
        <v>项</v>
      </c>
      <c r="D886" s="1" t="str">
        <f>"项"</f>
        <v>项</v>
      </c>
      <c r="E886" s="1" t="str">
        <f t="shared" si="263"/>
        <v>治疗费</v>
      </c>
    </row>
    <row r="887" spans="1:5">
      <c r="A887" s="1" t="str">
        <f>"可摘附着体义齿"</f>
        <v>可摘附着体义齿</v>
      </c>
      <c r="B887" s="1">
        <v>180</v>
      </c>
      <c r="C887" s="1" t="str">
        <f>"项"</f>
        <v>项</v>
      </c>
      <c r="D887" s="1" t="str">
        <f>"项"</f>
        <v>项</v>
      </c>
      <c r="E887" s="1" t="str">
        <f t="shared" si="263"/>
        <v>治疗费</v>
      </c>
    </row>
    <row r="888" spans="1:5">
      <c r="A888" s="1" t="str">
        <f>"总义齿"</f>
        <v>总义齿</v>
      </c>
      <c r="B888" s="1">
        <v>360</v>
      </c>
      <c r="C888" s="1">
        <v>1</v>
      </c>
      <c r="D888" s="1" t="str">
        <f>"单颌"</f>
        <v>单颌</v>
      </c>
      <c r="E888" s="1" t="str">
        <f t="shared" si="263"/>
        <v>治疗费</v>
      </c>
    </row>
    <row r="889" spans="1:5">
      <c r="A889" s="1" t="str">
        <f>"拆冠桥（锤造冠）"</f>
        <v>拆冠桥（锤造冠）</v>
      </c>
      <c r="B889" s="1">
        <v>12</v>
      </c>
      <c r="C889" s="1" t="str">
        <f t="shared" ref="C889:C893" si="265">"每牙"</f>
        <v>每牙</v>
      </c>
      <c r="D889" s="1" t="str">
        <f t="shared" si="264"/>
        <v>每牙</v>
      </c>
      <c r="E889" s="1" t="str">
        <f t="shared" si="263"/>
        <v>治疗费</v>
      </c>
    </row>
    <row r="890" spans="1:5">
      <c r="A890" s="1" t="str">
        <f>"拆冠桥（铸造冠）"</f>
        <v>拆冠桥（铸造冠）</v>
      </c>
      <c r="B890" s="1">
        <v>18</v>
      </c>
      <c r="C890" s="1" t="str">
        <f t="shared" si="265"/>
        <v>每牙</v>
      </c>
      <c r="D890" s="1" t="str">
        <f t="shared" si="264"/>
        <v>每牙</v>
      </c>
      <c r="E890" s="1" t="str">
        <f t="shared" si="263"/>
        <v>治疗费</v>
      </c>
    </row>
    <row r="891" spans="1:5">
      <c r="A891" s="1" t="str">
        <f>"拆桩"</f>
        <v>拆桩</v>
      </c>
      <c r="B891" s="1">
        <v>12</v>
      </c>
      <c r="C891" s="1" t="str">
        <f t="shared" ref="C891:C895" si="266">"-"</f>
        <v>-</v>
      </c>
      <c r="D891" s="1" t="str">
        <f t="shared" si="264"/>
        <v>每牙</v>
      </c>
      <c r="E891" s="1" t="str">
        <f t="shared" si="263"/>
        <v>治疗费</v>
      </c>
    </row>
    <row r="892" spans="1:5">
      <c r="A892" s="1" t="str">
        <f>"加焊"</f>
        <v>加焊</v>
      </c>
      <c r="B892" s="1">
        <v>1.2</v>
      </c>
      <c r="C892" s="1" t="str">
        <f>"每个取材部"</f>
        <v>每个取材部</v>
      </c>
      <c r="D892" s="1" t="str">
        <f>"每个取材部"</f>
        <v>每个取材部</v>
      </c>
      <c r="E892" s="1" t="str">
        <f t="shared" si="263"/>
        <v>治疗费</v>
      </c>
    </row>
    <row r="893" spans="1:5">
      <c r="A893" s="1" t="str">
        <f>"加装饰面"</f>
        <v>加装饰面</v>
      </c>
      <c r="B893" s="1">
        <v>2.4</v>
      </c>
      <c r="C893" s="1" t="str">
        <f t="shared" si="265"/>
        <v>每牙</v>
      </c>
      <c r="D893" s="1" t="str">
        <f t="shared" ref="D893:D898" si="267">"每牙"</f>
        <v>每牙</v>
      </c>
      <c r="E893" s="1" t="str">
        <f t="shared" si="263"/>
        <v>治疗费</v>
      </c>
    </row>
    <row r="894" spans="1:5">
      <c r="A894" s="1" t="str">
        <f>"烤瓷冠崩瓷修理"</f>
        <v>烤瓷冠崩瓷修理</v>
      </c>
      <c r="B894" s="1">
        <v>14</v>
      </c>
      <c r="C894" s="1" t="str">
        <f t="shared" si="266"/>
        <v>-</v>
      </c>
      <c r="D894" s="1" t="str">
        <f t="shared" si="267"/>
        <v>每牙</v>
      </c>
      <c r="E894" s="1" t="str">
        <f t="shared" si="263"/>
        <v>治疗费</v>
      </c>
    </row>
    <row r="895" spans="1:5">
      <c r="A895" s="1" t="str">
        <f>"调改义齿"</f>
        <v>调改义齿</v>
      </c>
      <c r="B895" s="1">
        <v>3.6</v>
      </c>
      <c r="C895" s="1" t="str">
        <f t="shared" si="266"/>
        <v>-</v>
      </c>
      <c r="D895" s="1" t="str">
        <f t="shared" ref="D895:D897" si="268">"次"</f>
        <v>次</v>
      </c>
      <c r="E895" s="1" t="str">
        <f t="shared" si="263"/>
        <v>治疗费</v>
      </c>
    </row>
    <row r="896" spans="1:5">
      <c r="A896" s="1" t="str">
        <f>"取局部关系记录"</f>
        <v>取局部关系记录</v>
      </c>
      <c r="B896" s="1">
        <v>12</v>
      </c>
      <c r="C896" s="1" t="str">
        <f>"次"</f>
        <v>次</v>
      </c>
      <c r="D896" s="1" t="str">
        <f t="shared" si="268"/>
        <v>次</v>
      </c>
      <c r="E896" s="1" t="str">
        <f t="shared" si="263"/>
        <v>治疗费</v>
      </c>
    </row>
    <row r="897" spans="1:5">
      <c r="A897" s="1" t="str">
        <f>"取正中关系记录"</f>
        <v>取正中关系记录</v>
      </c>
      <c r="B897" s="1">
        <v>36</v>
      </c>
      <c r="C897" s="1" t="str">
        <f>"次"</f>
        <v>次</v>
      </c>
      <c r="D897" s="1" t="str">
        <f t="shared" si="268"/>
        <v>次</v>
      </c>
      <c r="E897" s="1" t="str">
        <f t="shared" si="263"/>
        <v>治疗费</v>
      </c>
    </row>
    <row r="898" spans="1:5">
      <c r="A898" s="1" t="str">
        <f>"加人工牙"</f>
        <v>加人工牙</v>
      </c>
      <c r="B898" s="1">
        <v>18</v>
      </c>
      <c r="C898" s="1" t="str">
        <f>"-"</f>
        <v>-</v>
      </c>
      <c r="D898" s="1" t="str">
        <f t="shared" si="267"/>
        <v>每牙</v>
      </c>
      <c r="E898" s="1" t="str">
        <f t="shared" si="263"/>
        <v>治疗费</v>
      </c>
    </row>
    <row r="899" spans="1:5">
      <c r="A899" s="1" t="str">
        <f>"义齿接长基托"</f>
        <v>义齿接长基托</v>
      </c>
      <c r="B899" s="1">
        <v>12</v>
      </c>
      <c r="C899" s="1" t="str">
        <f>"-"</f>
        <v>-</v>
      </c>
      <c r="D899" s="1" t="str">
        <f t="shared" ref="D899:D906" si="269">"次"</f>
        <v>次</v>
      </c>
      <c r="E899" s="1" t="str">
        <f t="shared" ref="E899:E908" si="270">"治疗费"</f>
        <v>治疗费</v>
      </c>
    </row>
    <row r="900" spans="1:5">
      <c r="A900" s="1" t="str">
        <f>"义齿裂纹及折裂修理"</f>
        <v>义齿裂纹及折裂修理</v>
      </c>
      <c r="B900" s="1">
        <v>24</v>
      </c>
      <c r="C900" s="1" t="str">
        <f>"次"</f>
        <v>次</v>
      </c>
      <c r="D900" s="1" t="str">
        <f t="shared" si="269"/>
        <v>次</v>
      </c>
      <c r="E900" s="1" t="str">
        <f t="shared" si="270"/>
        <v>治疗费</v>
      </c>
    </row>
    <row r="901" spans="1:5">
      <c r="A901" s="1" t="str">
        <f>"义齿组织面重衬"</f>
        <v>义齿组织面重衬</v>
      </c>
      <c r="B901" s="1">
        <v>6</v>
      </c>
      <c r="C901" s="1" t="str">
        <f>"厘米"</f>
        <v>厘米</v>
      </c>
      <c r="D901" s="1" t="str">
        <f>"每厘米"</f>
        <v>每厘米</v>
      </c>
      <c r="E901" s="1" t="str">
        <f t="shared" si="270"/>
        <v>治疗费</v>
      </c>
    </row>
    <row r="902" spans="1:5">
      <c r="A902" s="1" t="str">
        <f>"加卡环"</f>
        <v>加卡环</v>
      </c>
      <c r="B902" s="1">
        <v>12</v>
      </c>
      <c r="C902" s="1" t="str">
        <f>"-"</f>
        <v>-</v>
      </c>
      <c r="D902" s="1" t="str">
        <f>"每卡环"</f>
        <v>每卡环</v>
      </c>
      <c r="E902" s="1" t="str">
        <f t="shared" si="270"/>
        <v>治疗费</v>
      </c>
    </row>
    <row r="903" spans="1:5">
      <c r="A903" s="1" t="str">
        <f>"增加铸造基托"</f>
        <v>增加铸造基托</v>
      </c>
      <c r="B903" s="1">
        <v>26</v>
      </c>
      <c r="C903" s="1" t="str">
        <f>"5＋5"</f>
        <v>5＋5</v>
      </c>
      <c r="D903" s="1" t="str">
        <f>"个"</f>
        <v>个</v>
      </c>
      <c r="E903" s="1" t="str">
        <f t="shared" si="270"/>
        <v>治疗费</v>
      </c>
    </row>
    <row r="904" spans="1:5">
      <c r="A904" s="1" t="str">
        <f>"加合(代)颌支托"</f>
        <v>加合(代)颌支托</v>
      </c>
      <c r="B904" s="1">
        <v>18</v>
      </c>
      <c r="C904" s="1">
        <v>1</v>
      </c>
      <c r="D904" s="1" t="str">
        <f t="shared" si="269"/>
        <v>次</v>
      </c>
      <c r="E904" s="1" t="str">
        <f t="shared" si="270"/>
        <v>治疗费</v>
      </c>
    </row>
    <row r="905" spans="1:5">
      <c r="A905" s="1" t="str">
        <f>"增加加固装置"</f>
        <v>增加加固装置</v>
      </c>
      <c r="B905" s="1">
        <v>8.4</v>
      </c>
      <c r="C905" s="1" t="str">
        <f>"次"</f>
        <v>次</v>
      </c>
      <c r="D905" s="1" t="str">
        <f t="shared" si="269"/>
        <v>次</v>
      </c>
      <c r="E905" s="1" t="str">
        <f t="shared" si="270"/>
        <v>治疗费</v>
      </c>
    </row>
    <row r="906" spans="1:5">
      <c r="A906" s="1" t="str">
        <f>"塑料合（代）颌面加高咬合"</f>
        <v>塑料合（代）颌面加高咬合</v>
      </c>
      <c r="B906" s="1">
        <v>30</v>
      </c>
      <c r="C906" s="1" t="str">
        <f t="shared" ref="C906:C916" si="271">"项"</f>
        <v>项</v>
      </c>
      <c r="D906" s="1" t="str">
        <f t="shared" si="269"/>
        <v>次</v>
      </c>
      <c r="E906" s="1" t="str">
        <f t="shared" si="270"/>
        <v>治疗费</v>
      </c>
    </row>
    <row r="907" spans="1:5">
      <c r="A907" s="1" t="str">
        <f>"弹性假牙龈"</f>
        <v>弹性假牙龈</v>
      </c>
      <c r="B907" s="1">
        <v>18</v>
      </c>
      <c r="C907" s="1" t="str">
        <f>"-"</f>
        <v>-</v>
      </c>
      <c r="D907" s="1" t="str">
        <f>"每牙"</f>
        <v>每牙</v>
      </c>
      <c r="E907" s="1" t="str">
        <f t="shared" si="270"/>
        <v>治疗费</v>
      </c>
    </row>
    <row r="908" spans="1:5">
      <c r="A908" s="1" t="str">
        <f>"合（代）垫"</f>
        <v>合（代）垫</v>
      </c>
      <c r="B908" s="1">
        <v>144</v>
      </c>
      <c r="C908" s="1" t="str">
        <f>"件"</f>
        <v>件</v>
      </c>
      <c r="D908" s="1" t="str">
        <f>"件"</f>
        <v>件</v>
      </c>
      <c r="E908" s="1" t="str">
        <f t="shared" si="270"/>
        <v>治疗费</v>
      </c>
    </row>
    <row r="909" spans="1:5">
      <c r="A909" s="1" t="str">
        <f>"乳牙期安氏I类错灋正畸治疗"</f>
        <v>乳牙期安氏I类错灋正畸治疗</v>
      </c>
      <c r="B909" s="1">
        <v>600</v>
      </c>
      <c r="C909" s="1" t="str">
        <f>"次"</f>
        <v>次</v>
      </c>
      <c r="D909" s="1" t="str">
        <f>"次"</f>
        <v>次</v>
      </c>
      <c r="E909" s="1" t="str">
        <f t="shared" ref="E909:E911" si="272">"治疗费(含材料费)"</f>
        <v>治疗费(含材料费)</v>
      </c>
    </row>
    <row r="910" spans="1:5">
      <c r="A910" s="1" t="str">
        <f>"替牙期安氏I类错活动矫治器正畸治疗"</f>
        <v>替牙期安氏I类错活动矫治器正畸治疗</v>
      </c>
      <c r="B910" s="1">
        <v>4000</v>
      </c>
      <c r="C910" s="1" t="str">
        <f t="shared" si="271"/>
        <v>项</v>
      </c>
      <c r="D910" s="1" t="str">
        <f t="shared" ref="D910:D916" si="273">"项"</f>
        <v>项</v>
      </c>
      <c r="E910" s="1" t="str">
        <f t="shared" si="272"/>
        <v>治疗费(含材料费)</v>
      </c>
    </row>
    <row r="911" spans="1:5">
      <c r="A911" s="1" t="str">
        <f>"恒牙期安氏I类错固定矫治器正畸治疗"</f>
        <v>恒牙期安氏I类错固定矫治器正畸治疗</v>
      </c>
      <c r="B911" s="1">
        <v>12000</v>
      </c>
      <c r="C911" s="1" t="str">
        <f t="shared" si="271"/>
        <v>项</v>
      </c>
      <c r="D911" s="1" t="str">
        <f t="shared" si="273"/>
        <v>项</v>
      </c>
      <c r="E911" s="1" t="str">
        <f t="shared" si="272"/>
        <v>治疗费(含材料费)</v>
      </c>
    </row>
    <row r="912" spans="1:5">
      <c r="A912" s="1" t="str">
        <f>"恒牙期安氏Il类错固定矫治器正畸治疗"</f>
        <v>恒牙期安氏Il类错固定矫治器正畸治疗</v>
      </c>
      <c r="B912" s="1">
        <v>6000</v>
      </c>
      <c r="C912" s="1" t="str">
        <f t="shared" si="271"/>
        <v>项</v>
      </c>
      <c r="D912" s="1" t="str">
        <f t="shared" si="273"/>
        <v>项</v>
      </c>
      <c r="E912" s="1" t="str">
        <f>"治疗费"</f>
        <v>治疗费</v>
      </c>
    </row>
    <row r="913" spans="1:5">
      <c r="A913" s="1" t="str">
        <f>"替牙期安氏II类错口腔不良习惯正畸治疗"</f>
        <v>替牙期安氏II类错口腔不良习惯正畸治疗</v>
      </c>
      <c r="B913" s="1">
        <v>3500</v>
      </c>
      <c r="C913" s="1" t="str">
        <f t="shared" si="271"/>
        <v>项</v>
      </c>
      <c r="D913" s="1" t="str">
        <f t="shared" si="273"/>
        <v>项</v>
      </c>
      <c r="E913" s="1" t="str">
        <f t="shared" ref="E913:E916" si="274">"治疗费(含材料费)"</f>
        <v>治疗费(含材料费)</v>
      </c>
    </row>
    <row r="914" spans="1:5">
      <c r="A914" s="1" t="str">
        <f>"恒牙早期安氏II类错功能矫治器治疗"</f>
        <v>恒牙早期安氏II类错功能矫治器治疗</v>
      </c>
      <c r="B914" s="1">
        <v>3500</v>
      </c>
      <c r="C914" s="1" t="str">
        <f t="shared" si="271"/>
        <v>项</v>
      </c>
      <c r="D914" s="1" t="str">
        <f t="shared" si="273"/>
        <v>项</v>
      </c>
      <c r="E914" s="1" t="str">
        <f t="shared" si="274"/>
        <v>治疗费(含材料费)</v>
      </c>
    </row>
    <row r="915" spans="1:5">
      <c r="A915" s="1" t="str">
        <f>"替牙期安氏III类错正畸治疗"</f>
        <v>替牙期安氏III类错正畸治疗</v>
      </c>
      <c r="B915" s="1">
        <v>4500</v>
      </c>
      <c r="C915" s="1" t="str">
        <f t="shared" si="271"/>
        <v>项</v>
      </c>
      <c r="D915" s="1" t="str">
        <f t="shared" si="273"/>
        <v>项</v>
      </c>
      <c r="E915" s="1" t="str">
        <f t="shared" si="274"/>
        <v>治疗费(含材料费)</v>
      </c>
    </row>
    <row r="916" spans="1:5">
      <c r="A916" s="1" t="str">
        <f>"恒牙期安氏III类错固定矫治器治疗"</f>
        <v>恒牙期安氏III类错固定矫治器治疗</v>
      </c>
      <c r="B916" s="1">
        <v>14000</v>
      </c>
      <c r="C916" s="1" t="str">
        <f t="shared" si="271"/>
        <v>项</v>
      </c>
      <c r="D916" s="1" t="str">
        <f t="shared" si="273"/>
        <v>项</v>
      </c>
      <c r="E916" s="1" t="str">
        <f t="shared" si="274"/>
        <v>治疗费(含材料费)</v>
      </c>
    </row>
    <row r="917" spans="1:5">
      <c r="A917" s="1" t="str">
        <f>"早期颜面不对称正畸治疗"</f>
        <v>早期颜面不对称正畸治疗</v>
      </c>
      <c r="B917" s="1">
        <v>180</v>
      </c>
      <c r="C917" s="1" t="str">
        <f>"-"</f>
        <v>-</v>
      </c>
      <c r="D917" s="1" t="str">
        <f t="shared" ref="D917:D919" si="275">"次"</f>
        <v>次</v>
      </c>
      <c r="E917" s="1" t="str">
        <f>"治疗费"</f>
        <v>治疗费</v>
      </c>
    </row>
    <row r="918" spans="1:5">
      <c r="A918" s="1" t="str">
        <f>"肺通气功能检查"</f>
        <v>肺通气功能检查</v>
      </c>
      <c r="B918" s="1">
        <v>39</v>
      </c>
      <c r="C918" s="1" t="str">
        <f>"/"</f>
        <v>/</v>
      </c>
      <c r="D918" s="1" t="str">
        <f t="shared" si="275"/>
        <v>次</v>
      </c>
      <c r="E918" s="1" t="str">
        <f t="shared" ref="E918:E922" si="276">"检查费"</f>
        <v>检查费</v>
      </c>
    </row>
    <row r="919" spans="1:5">
      <c r="A919" s="1" t="str">
        <f>"肺通气功能检查(含最大通气量)"</f>
        <v>肺通气功能检查(含最大通气量)</v>
      </c>
      <c r="B919" s="1">
        <v>117</v>
      </c>
      <c r="C919" s="1" t="str">
        <f>"次"</f>
        <v>次</v>
      </c>
      <c r="D919" s="1" t="str">
        <f t="shared" si="275"/>
        <v>次</v>
      </c>
      <c r="E919" s="1" t="str">
        <f t="shared" si="276"/>
        <v>检查费</v>
      </c>
    </row>
    <row r="920" spans="1:5">
      <c r="A920" s="1" t="str">
        <f>"运动心肺功能检查"</f>
        <v>运动心肺功能检查</v>
      </c>
      <c r="B920" s="1">
        <v>260</v>
      </c>
      <c r="C920" s="1" t="str">
        <f t="shared" ref="C920:C922" si="277">"项"</f>
        <v>项</v>
      </c>
      <c r="D920" s="1" t="str">
        <f t="shared" ref="D920:D922" si="278">"项"</f>
        <v>项</v>
      </c>
      <c r="E920" s="1" t="str">
        <f t="shared" si="276"/>
        <v>检查费</v>
      </c>
    </row>
    <row r="921" spans="1:5">
      <c r="A921" s="1" t="str">
        <f>"流速容量曲线（V-V)"</f>
        <v>流速容量曲线（V-V)</v>
      </c>
      <c r="B921" s="1">
        <v>117</v>
      </c>
      <c r="C921" s="1" t="str">
        <f t="shared" si="277"/>
        <v>项</v>
      </c>
      <c r="D921" s="1" t="str">
        <f t="shared" si="278"/>
        <v>项</v>
      </c>
      <c r="E921" s="1" t="str">
        <f t="shared" si="276"/>
        <v>检查费</v>
      </c>
    </row>
    <row r="922" spans="1:5">
      <c r="A922" s="1" t="str">
        <f>"支气管舒张试验"</f>
        <v>支气管舒张试验</v>
      </c>
      <c r="B922" s="1">
        <v>104</v>
      </c>
      <c r="C922" s="1" t="str">
        <f t="shared" si="277"/>
        <v>项</v>
      </c>
      <c r="D922" s="1" t="str">
        <f t="shared" si="278"/>
        <v>项</v>
      </c>
      <c r="E922" s="1" t="str">
        <f t="shared" si="276"/>
        <v>检查费</v>
      </c>
    </row>
    <row r="923" spans="1:5">
      <c r="A923" s="1" t="str">
        <f>"呼吸机辅助呼吸"</f>
        <v>呼吸机辅助呼吸</v>
      </c>
      <c r="B923" s="1">
        <v>20</v>
      </c>
      <c r="C923" s="1" t="str">
        <f>"小时"</f>
        <v>小时</v>
      </c>
      <c r="D923" s="1" t="str">
        <f>"小时"</f>
        <v>小时</v>
      </c>
      <c r="E923" s="1" t="str">
        <f>"治疗费"</f>
        <v>治疗费</v>
      </c>
    </row>
    <row r="924" spans="1:5">
      <c r="A924" s="1" t="str">
        <f>"体外膈肌起搏治疗"</f>
        <v>体外膈肌起搏治疗</v>
      </c>
      <c r="B924" s="1">
        <v>20</v>
      </c>
      <c r="C924" s="1" t="str">
        <f t="shared" ref="C924:C926" si="279">"次"</f>
        <v>次</v>
      </c>
      <c r="D924" s="1" t="str">
        <f t="shared" ref="D924:D926" si="280">"次"</f>
        <v>次</v>
      </c>
      <c r="E924" s="1" t="str">
        <f>"治疗费"</f>
        <v>治疗费</v>
      </c>
    </row>
    <row r="925" spans="1:5">
      <c r="A925" s="1" t="str">
        <f>"胸腔穿刺术"</f>
        <v>胸腔穿刺术</v>
      </c>
      <c r="B925" s="1">
        <v>65</v>
      </c>
      <c r="C925" s="1" t="str">
        <f t="shared" si="279"/>
        <v>次</v>
      </c>
      <c r="D925" s="1" t="str">
        <f t="shared" si="280"/>
        <v>次</v>
      </c>
      <c r="E925" s="1" t="str">
        <f>"治疗费"</f>
        <v>治疗费</v>
      </c>
    </row>
    <row r="926" spans="1:5">
      <c r="A926" s="1" t="str">
        <f>"常规心电图检查(单通道)"</f>
        <v>常规心电图检查(单通道)</v>
      </c>
      <c r="B926" s="1" t="str">
        <f>"0"</f>
        <v>0</v>
      </c>
      <c r="C926" s="1" t="str">
        <f t="shared" si="279"/>
        <v>次</v>
      </c>
      <c r="D926" s="1" t="str">
        <f t="shared" si="280"/>
        <v>次</v>
      </c>
      <c r="E926" s="1" t="str">
        <f>"心电图"</f>
        <v>心电图</v>
      </c>
    </row>
    <row r="927" spans="1:5">
      <c r="A927" s="1" t="str">
        <f>"常规心电图检查(签约)"</f>
        <v>常规心电图检查(签约)</v>
      </c>
      <c r="B927" s="1">
        <v>1</v>
      </c>
      <c r="C927" s="1" t="str">
        <f>"项"</f>
        <v>项</v>
      </c>
      <c r="D927" s="1" t="str">
        <f>"项"</f>
        <v>项</v>
      </c>
      <c r="E927" s="1" t="str">
        <f>"检查费"</f>
        <v>检查费</v>
      </c>
    </row>
    <row r="928" spans="1:5">
      <c r="A928" s="1" t="str">
        <f>"常规心电图检查十二通道"</f>
        <v>常规心电图检查十二通道</v>
      </c>
      <c r="B928" s="1">
        <v>36</v>
      </c>
      <c r="C928" s="1" t="str">
        <f t="shared" ref="C928:C932" si="281">"次"</f>
        <v>次</v>
      </c>
      <c r="D928" s="1" t="str">
        <f t="shared" ref="D928:D932" si="282">"次"</f>
        <v>次</v>
      </c>
      <c r="E928" s="1" t="str">
        <f>"心电图"</f>
        <v>心电图</v>
      </c>
    </row>
    <row r="929" spans="1:5">
      <c r="A929" s="1" t="str">
        <f>"动态心电图"</f>
        <v>动态心电图</v>
      </c>
      <c r="B929" s="1">
        <v>192</v>
      </c>
      <c r="C929" s="1" t="str">
        <f t="shared" si="281"/>
        <v>次</v>
      </c>
      <c r="D929" s="1" t="str">
        <f t="shared" si="282"/>
        <v>次</v>
      </c>
      <c r="E929" s="1" t="str">
        <f>"心电图"</f>
        <v>心电图</v>
      </c>
    </row>
    <row r="930" spans="1:5">
      <c r="A930" s="1" t="str">
        <f>"心电图事件记录"</f>
        <v>心电图事件记录</v>
      </c>
      <c r="B930" s="1">
        <v>12</v>
      </c>
      <c r="C930" s="1">
        <v>1</v>
      </c>
      <c r="D930" s="1" t="str">
        <f>"每次"</f>
        <v>每次</v>
      </c>
      <c r="E930" s="1" t="str">
        <f>"心电图"</f>
        <v>心电图</v>
      </c>
    </row>
    <row r="931" spans="1:5">
      <c r="A931" s="1" t="str">
        <f>"心电监测电话传输"</f>
        <v>心电监测电话传输</v>
      </c>
      <c r="B931" s="1">
        <v>96</v>
      </c>
      <c r="C931" s="1" t="str">
        <f>"项"</f>
        <v>项</v>
      </c>
      <c r="D931" s="1" t="str">
        <f>"项"</f>
        <v>项</v>
      </c>
      <c r="E931" s="1" t="str">
        <f t="shared" ref="E931:E936" si="283">"检查费"</f>
        <v>检查费</v>
      </c>
    </row>
    <row r="932" spans="1:5">
      <c r="A932" s="1" t="str">
        <f>"心电图踏车负荷试验"</f>
        <v>心电图踏车负荷试验</v>
      </c>
      <c r="B932" s="1">
        <v>144</v>
      </c>
      <c r="C932" s="1" t="str">
        <f t="shared" si="281"/>
        <v>次</v>
      </c>
      <c r="D932" s="1" t="str">
        <f t="shared" si="282"/>
        <v>次</v>
      </c>
      <c r="E932" s="1" t="str">
        <f>"治疗费"</f>
        <v>治疗费</v>
      </c>
    </row>
    <row r="933" spans="1:5">
      <c r="A933" s="1" t="str">
        <f>"心电图药物负荷试验"</f>
        <v>心电图药物负荷试验</v>
      </c>
      <c r="B933" s="1">
        <v>18</v>
      </c>
      <c r="C933" s="1" t="str">
        <f>"项"</f>
        <v>项</v>
      </c>
      <c r="D933" s="1" t="str">
        <f>"项"</f>
        <v>项</v>
      </c>
      <c r="E933" s="1" t="str">
        <f t="shared" si="283"/>
        <v>检查费</v>
      </c>
    </row>
    <row r="934" spans="1:5">
      <c r="A934" s="1" t="str">
        <f>"心率变异性分析"</f>
        <v>心率变异性分析</v>
      </c>
      <c r="B934" s="1">
        <v>96</v>
      </c>
      <c r="C934" s="1" t="str">
        <f>"-"</f>
        <v>-</v>
      </c>
      <c r="D934" s="1" t="str">
        <f t="shared" ref="D934:D938" si="284">"次"</f>
        <v>次</v>
      </c>
      <c r="E934" s="1" t="str">
        <f t="shared" si="283"/>
        <v>检查费</v>
      </c>
    </row>
    <row r="935" spans="1:5">
      <c r="A935" s="1" t="str">
        <f>"动态血压监测"</f>
        <v>动态血压监测</v>
      </c>
      <c r="B935" s="1">
        <v>6</v>
      </c>
      <c r="C935" s="1" t="str">
        <f t="shared" ref="C935:C940" si="285">"小时"</f>
        <v>小时</v>
      </c>
      <c r="D935" s="1" t="str">
        <f t="shared" ref="D935:D940" si="286">"小时"</f>
        <v>小时</v>
      </c>
      <c r="E935" s="1" t="str">
        <f t="shared" si="283"/>
        <v>检查费</v>
      </c>
    </row>
    <row r="936" spans="1:5">
      <c r="A936" s="1" t="str">
        <f>"心电监测"</f>
        <v>心电监测</v>
      </c>
      <c r="B936" s="1">
        <v>5</v>
      </c>
      <c r="C936" s="1" t="str">
        <f t="shared" si="285"/>
        <v>小时</v>
      </c>
      <c r="D936" s="1" t="str">
        <f t="shared" si="286"/>
        <v>小时</v>
      </c>
      <c r="E936" s="1" t="str">
        <f t="shared" si="283"/>
        <v>检查费</v>
      </c>
    </row>
    <row r="937" spans="1:5">
      <c r="A937" s="1" t="str">
        <f>"肢体动脉检测"</f>
        <v>肢体动脉检测</v>
      </c>
      <c r="B937" s="1">
        <v>57</v>
      </c>
      <c r="C937" s="1" t="str">
        <f t="shared" ref="C937:C944" si="287">"次"</f>
        <v>次</v>
      </c>
      <c r="D937" s="1" t="str">
        <f t="shared" si="284"/>
        <v>次</v>
      </c>
      <c r="E937" s="1" t="str">
        <f>"超声费"</f>
        <v>超声费</v>
      </c>
    </row>
    <row r="938" spans="1:5">
      <c r="A938" s="1" t="str">
        <f>"趾、指动脉检测"</f>
        <v>趾、指动脉检测</v>
      </c>
      <c r="B938" s="1">
        <v>34</v>
      </c>
      <c r="C938" s="1" t="str">
        <f t="shared" si="287"/>
        <v>次</v>
      </c>
      <c r="D938" s="1" t="str">
        <f t="shared" si="284"/>
        <v>次</v>
      </c>
      <c r="E938" s="1" t="str">
        <f>"超声费"</f>
        <v>超声费</v>
      </c>
    </row>
    <row r="939" spans="1:5">
      <c r="A939" s="1" t="str">
        <f>"指脉氧监测"</f>
        <v>指脉氧监测</v>
      </c>
      <c r="B939" s="1">
        <v>2</v>
      </c>
      <c r="C939" s="1" t="str">
        <f t="shared" si="285"/>
        <v>小时</v>
      </c>
      <c r="D939" s="1" t="str">
        <f t="shared" si="286"/>
        <v>小时</v>
      </c>
      <c r="E939" s="1" t="str">
        <f>"检查费"</f>
        <v>检查费</v>
      </c>
    </row>
    <row r="940" spans="1:5">
      <c r="A940" s="1" t="str">
        <f>"血氧饱和度监测"</f>
        <v>血氧饱和度监测</v>
      </c>
      <c r="B940" s="1">
        <v>2</v>
      </c>
      <c r="C940" s="1" t="str">
        <f t="shared" si="285"/>
        <v>小时</v>
      </c>
      <c r="D940" s="1" t="str">
        <f t="shared" si="286"/>
        <v>小时</v>
      </c>
      <c r="E940" s="1" t="str">
        <f>"治疗费"</f>
        <v>治疗费</v>
      </c>
    </row>
    <row r="941" spans="1:5">
      <c r="A941" s="1" t="str">
        <f>"电子纤维内镜加收"</f>
        <v>电子纤维内镜加收</v>
      </c>
      <c r="B941" s="1">
        <v>100</v>
      </c>
      <c r="C941" s="1" t="str">
        <f t="shared" si="287"/>
        <v>次</v>
      </c>
      <c r="D941" s="1" t="str">
        <f t="shared" ref="D941:D944" si="288">"次"</f>
        <v>次</v>
      </c>
      <c r="E941" s="1" t="str">
        <f>"胃镜费"</f>
        <v>胃镜费</v>
      </c>
    </row>
    <row r="942" spans="1:5">
      <c r="A942" s="1" t="str">
        <f>"纤维食管镜检查"</f>
        <v>纤维食管镜检查</v>
      </c>
      <c r="B942" s="1">
        <v>65</v>
      </c>
      <c r="C942" s="1" t="str">
        <f t="shared" si="287"/>
        <v>次</v>
      </c>
      <c r="D942" s="1" t="str">
        <f t="shared" si="288"/>
        <v>次</v>
      </c>
      <c r="E942" s="1" t="str">
        <f>"检查费"</f>
        <v>检查费</v>
      </c>
    </row>
    <row r="943" spans="1:5">
      <c r="A943" s="1" t="str">
        <f>"经食管镜取异物"</f>
        <v>经食管镜取异物</v>
      </c>
      <c r="B943" s="1">
        <v>208</v>
      </c>
      <c r="C943" s="1" t="str">
        <f t="shared" si="287"/>
        <v>次</v>
      </c>
      <c r="D943" s="1" t="str">
        <f t="shared" si="288"/>
        <v>次</v>
      </c>
      <c r="E943" s="1" t="str">
        <f>"治疗费"</f>
        <v>治疗费</v>
      </c>
    </row>
    <row r="944" spans="1:5">
      <c r="A944" s="1" t="str">
        <f>"纤维胃十二指肠镜检查"</f>
        <v>纤维胃十二指肠镜检查</v>
      </c>
      <c r="B944" s="1">
        <v>145</v>
      </c>
      <c r="C944" s="1" t="str">
        <f t="shared" si="287"/>
        <v>次</v>
      </c>
      <c r="D944" s="1" t="str">
        <f t="shared" si="288"/>
        <v>次</v>
      </c>
      <c r="E944" s="1" t="str">
        <f>"胃镜费"</f>
        <v>胃镜费</v>
      </c>
    </row>
    <row r="945" spans="1:5">
      <c r="A945" s="1" t="str">
        <f>"经胃镜特殊治疗（电凝电切法）"</f>
        <v>经胃镜特殊治疗（电凝电切法）</v>
      </c>
      <c r="B945" s="1">
        <v>283</v>
      </c>
      <c r="C945" s="1" t="str">
        <f>"次"</f>
        <v>次</v>
      </c>
      <c r="D945" s="1" t="str">
        <f>"次"</f>
        <v>次</v>
      </c>
      <c r="E945" s="1" t="str">
        <f>"胃镜费"</f>
        <v>胃镜费</v>
      </c>
    </row>
    <row r="946" spans="1:5">
      <c r="A946" s="1" t="str">
        <f>"经胃镜特殊治疗微波法"</f>
        <v>经胃镜特殊治疗微波法</v>
      </c>
      <c r="B946" s="1">
        <v>169</v>
      </c>
      <c r="C946" s="1" t="str">
        <f t="shared" ref="C946:C962" si="289">"次"</f>
        <v>次</v>
      </c>
      <c r="D946" s="1" t="str">
        <f t="shared" ref="D946:D972" si="290">"次"</f>
        <v>次</v>
      </c>
      <c r="E946" s="1" t="str">
        <f t="shared" ref="E946:E949" si="291">"胃镜费"</f>
        <v>胃镜费</v>
      </c>
    </row>
    <row r="947" spans="1:5">
      <c r="A947" s="1" t="str">
        <f>"经胃镜特殊治疗（从第二个肿物或出血点起，每增加一个肿物或出血点加收）"</f>
        <v>经胃镜特殊治疗（从第二个肿物或出血点起，每增加一个肿物或出血点加收）</v>
      </c>
      <c r="B947" s="1">
        <v>135</v>
      </c>
      <c r="C947" s="1" t="str">
        <f t="shared" si="289"/>
        <v>次</v>
      </c>
      <c r="D947" s="1" t="str">
        <f t="shared" si="290"/>
        <v>次</v>
      </c>
      <c r="E947" s="1" t="str">
        <f t="shared" ref="E947:E954" si="292">"治疗费"</f>
        <v>治疗费</v>
      </c>
    </row>
    <row r="948" spans="1:5">
      <c r="A948" s="1" t="str">
        <f>"纤维结肠镜检查"</f>
        <v>纤维结肠镜检查</v>
      </c>
      <c r="B948" s="1">
        <v>180</v>
      </c>
      <c r="C948" s="1" t="str">
        <f t="shared" si="289"/>
        <v>次</v>
      </c>
      <c r="D948" s="1" t="str">
        <f t="shared" si="290"/>
        <v>次</v>
      </c>
      <c r="E948" s="1" t="str">
        <f t="shared" si="291"/>
        <v>胃镜费</v>
      </c>
    </row>
    <row r="949" spans="1:5">
      <c r="A949" s="1" t="str">
        <f>"经肠镜特殊治疗电凝电切法"</f>
        <v>经肠镜特殊治疗电凝电切法</v>
      </c>
      <c r="B949" s="1">
        <v>390</v>
      </c>
      <c r="C949" s="1" t="str">
        <f t="shared" si="289"/>
        <v>次</v>
      </c>
      <c r="D949" s="1" t="str">
        <f t="shared" si="290"/>
        <v>次</v>
      </c>
      <c r="E949" s="1" t="str">
        <f t="shared" si="291"/>
        <v>胃镜费</v>
      </c>
    </row>
    <row r="950" spans="1:5">
      <c r="A950" s="1" t="str">
        <f>"经肠镜特殊治疗微波法"</f>
        <v>经肠镜特殊治疗微波法</v>
      </c>
      <c r="B950" s="1">
        <v>169</v>
      </c>
      <c r="C950" s="1" t="str">
        <f t="shared" si="289"/>
        <v>次</v>
      </c>
      <c r="D950" s="1" t="str">
        <f t="shared" si="290"/>
        <v>次</v>
      </c>
      <c r="E950" s="1" t="str">
        <f t="shared" si="292"/>
        <v>治疗费</v>
      </c>
    </row>
    <row r="951" spans="1:5">
      <c r="A951" s="1" t="str">
        <f>"经肠镜特殊治疗（从第二个肿物或出血点起，每增加一个肿物或出血点加收）"</f>
        <v>经肠镜特殊治疗（从第二个肿物或出血点起，每增加一个肿物或出血点加收）</v>
      </c>
      <c r="B951" s="1">
        <v>135</v>
      </c>
      <c r="C951" s="1" t="str">
        <f t="shared" si="289"/>
        <v>次</v>
      </c>
      <c r="D951" s="1" t="str">
        <f t="shared" si="290"/>
        <v>次</v>
      </c>
      <c r="E951" s="1" t="str">
        <f t="shared" si="292"/>
        <v>治疗费</v>
      </c>
    </row>
    <row r="952" spans="1:5">
      <c r="A952" s="1" t="str">
        <f>"肠套叠手法复位"</f>
        <v>肠套叠手法复位</v>
      </c>
      <c r="B952" s="1">
        <v>65</v>
      </c>
      <c r="C952" s="1" t="str">
        <f t="shared" si="289"/>
        <v>次</v>
      </c>
      <c r="D952" s="1" t="str">
        <f t="shared" si="290"/>
        <v>次</v>
      </c>
      <c r="E952" s="1" t="str">
        <f t="shared" si="292"/>
        <v>治疗费</v>
      </c>
    </row>
    <row r="953" spans="1:5">
      <c r="A953" s="1" t="str">
        <f>"直肠镜检查"</f>
        <v>直肠镜检查</v>
      </c>
      <c r="B953" s="1">
        <v>52</v>
      </c>
      <c r="C953" s="1" t="str">
        <f t="shared" si="289"/>
        <v>次</v>
      </c>
      <c r="D953" s="1" t="str">
        <f t="shared" si="290"/>
        <v>次</v>
      </c>
      <c r="E953" s="1" t="str">
        <f t="shared" si="292"/>
        <v>治疗费</v>
      </c>
    </row>
    <row r="954" spans="1:5">
      <c r="A954" s="1" t="str">
        <f>"肛门镜检查"</f>
        <v>肛门镜检查</v>
      </c>
      <c r="B954" s="1">
        <v>26</v>
      </c>
      <c r="C954" s="1" t="str">
        <f t="shared" si="289"/>
        <v>次</v>
      </c>
      <c r="D954" s="1" t="str">
        <f t="shared" si="290"/>
        <v>次</v>
      </c>
      <c r="E954" s="1" t="str">
        <f t="shared" si="292"/>
        <v>治疗费</v>
      </c>
    </row>
    <row r="955" spans="1:5">
      <c r="A955" s="1" t="str">
        <f>"肛门指检"</f>
        <v>肛门指检</v>
      </c>
      <c r="B955" s="1">
        <v>3.9</v>
      </c>
      <c r="C955" s="1" t="str">
        <f t="shared" si="289"/>
        <v>次</v>
      </c>
      <c r="D955" s="1" t="str">
        <f t="shared" si="290"/>
        <v>次</v>
      </c>
      <c r="E955" s="1" t="str">
        <f>"检查费"</f>
        <v>检查费</v>
      </c>
    </row>
    <row r="956" spans="1:5">
      <c r="A956" s="1" t="str">
        <f>"盆底表面肌电评估"</f>
        <v>盆底表面肌电评估</v>
      </c>
      <c r="B956" s="1">
        <v>90</v>
      </c>
      <c r="C956" s="1" t="str">
        <f t="shared" si="289"/>
        <v>次</v>
      </c>
      <c r="D956" s="1" t="str">
        <f t="shared" si="290"/>
        <v>次</v>
      </c>
      <c r="E956" s="1" t="str">
        <f t="shared" ref="E956:E960" si="293">"治疗费"</f>
        <v>治疗费</v>
      </c>
    </row>
    <row r="957" spans="1:5">
      <c r="A957" s="1" t="str">
        <f>"直肠肛门特殊治疗"</f>
        <v>直肠肛门特殊治疗</v>
      </c>
      <c r="B957" s="1">
        <v>65</v>
      </c>
      <c r="C957" s="1" t="str">
        <f t="shared" si="289"/>
        <v>次</v>
      </c>
      <c r="D957" s="1" t="str">
        <f t="shared" si="290"/>
        <v>次</v>
      </c>
      <c r="E957" s="1" t="str">
        <f t="shared" si="293"/>
        <v>治疗费</v>
      </c>
    </row>
    <row r="958" spans="1:5">
      <c r="A958" s="1" t="str">
        <f>"直肠肛门特殊治疗"</f>
        <v>直肠肛门特殊治疗</v>
      </c>
      <c r="B958" s="1">
        <v>130</v>
      </c>
      <c r="C958" s="1" t="str">
        <f t="shared" si="289"/>
        <v>次</v>
      </c>
      <c r="D958" s="1" t="str">
        <f t="shared" si="290"/>
        <v>次</v>
      </c>
      <c r="E958" s="1" t="str">
        <f t="shared" si="293"/>
        <v>治疗费</v>
      </c>
    </row>
    <row r="959" spans="1:5">
      <c r="A959" s="1" t="str">
        <f>"生物反馈治疗"</f>
        <v>生物反馈治疗</v>
      </c>
      <c r="B959" s="1">
        <v>60</v>
      </c>
      <c r="C959" s="1" t="str">
        <f t="shared" si="289"/>
        <v>次</v>
      </c>
      <c r="D959" s="1" t="str">
        <f t="shared" si="290"/>
        <v>次</v>
      </c>
      <c r="E959" s="1" t="str">
        <f t="shared" si="293"/>
        <v>治疗费</v>
      </c>
    </row>
    <row r="960" spans="1:5">
      <c r="A960" s="1" t="str">
        <f>"腹腔穿刺术"</f>
        <v>腹腔穿刺术</v>
      </c>
      <c r="B960" s="1">
        <v>52</v>
      </c>
      <c r="C960" s="1" t="str">
        <f t="shared" si="289"/>
        <v>次</v>
      </c>
      <c r="D960" s="1" t="str">
        <f t="shared" si="290"/>
        <v>次</v>
      </c>
      <c r="E960" s="1" t="str">
        <f t="shared" si="293"/>
        <v>治疗费</v>
      </c>
    </row>
    <row r="961" spans="1:5">
      <c r="A961" s="1" t="str">
        <f>"经电子内镜食管胃十二指肠黏膜切除术(EMR)"</f>
        <v>经电子内镜食管胃十二指肠黏膜切除术(EMR)</v>
      </c>
      <c r="B961" s="1">
        <v>1428</v>
      </c>
      <c r="C961" s="1" t="str">
        <f t="shared" si="289"/>
        <v>次</v>
      </c>
      <c r="D961" s="1" t="str">
        <f t="shared" si="290"/>
        <v>次</v>
      </c>
      <c r="E961" s="1" t="str">
        <f>"手术费"</f>
        <v>手术费</v>
      </c>
    </row>
    <row r="962" spans="1:5">
      <c r="A962" s="1" t="str">
        <f>"经电子内镜食管胃十二指肠黏膜剥离术（ESD)"</f>
        <v>经电子内镜食管胃十二指肠黏膜剥离术（ESD)</v>
      </c>
      <c r="B962" s="1">
        <v>2000</v>
      </c>
      <c r="C962" s="1" t="str">
        <f t="shared" si="289"/>
        <v>次</v>
      </c>
      <c r="D962" s="1" t="str">
        <f t="shared" si="290"/>
        <v>次</v>
      </c>
      <c r="E962" s="1" t="str">
        <f t="shared" ref="E962:E971" si="294">"治疗费"</f>
        <v>治疗费</v>
      </c>
    </row>
    <row r="963" spans="1:5">
      <c r="A963" s="1" t="str">
        <f>"膀胱注射"</f>
        <v>膀胱注射</v>
      </c>
      <c r="B963" s="1">
        <v>20</v>
      </c>
      <c r="C963" s="1" t="str">
        <f>"-"</f>
        <v>-</v>
      </c>
      <c r="D963" s="1" t="str">
        <f t="shared" si="290"/>
        <v>次</v>
      </c>
      <c r="E963" s="1" t="str">
        <f t="shared" si="294"/>
        <v>治疗费</v>
      </c>
    </row>
    <row r="964" spans="1:5">
      <c r="A964" s="1" t="str">
        <f>"膀胱灌注"</f>
        <v>膀胱灌注</v>
      </c>
      <c r="B964" s="1">
        <v>20</v>
      </c>
      <c r="C964" s="1" t="str">
        <f t="shared" ref="C964:C971" si="295">"次"</f>
        <v>次</v>
      </c>
      <c r="D964" s="1" t="str">
        <f t="shared" si="290"/>
        <v>次</v>
      </c>
      <c r="E964" s="1" t="str">
        <f t="shared" si="294"/>
        <v>治疗费</v>
      </c>
    </row>
    <row r="965" spans="1:5">
      <c r="A965" s="1" t="str">
        <f>"尿道狭窄扩张术"</f>
        <v>尿道狭窄扩张术</v>
      </c>
      <c r="B965" s="1">
        <v>78</v>
      </c>
      <c r="C965" s="1" t="str">
        <f t="shared" si="295"/>
        <v>次</v>
      </c>
      <c r="D965" s="1" t="str">
        <f t="shared" si="290"/>
        <v>次</v>
      </c>
      <c r="E965" s="1" t="str">
        <f t="shared" si="294"/>
        <v>治疗费</v>
      </c>
    </row>
    <row r="966" spans="1:5">
      <c r="A966" s="1" t="str">
        <f>"嵌顿包茎手法复位术"</f>
        <v>嵌顿包茎手法复位术</v>
      </c>
      <c r="B966" s="1">
        <v>78</v>
      </c>
      <c r="C966" s="1" t="str">
        <f t="shared" si="295"/>
        <v>次</v>
      </c>
      <c r="D966" s="1" t="str">
        <f t="shared" si="290"/>
        <v>次</v>
      </c>
      <c r="E966" s="1" t="str">
        <f t="shared" si="294"/>
        <v>治疗费</v>
      </c>
    </row>
    <row r="967" spans="1:5">
      <c r="A967" s="1" t="str">
        <f>"前列腺按摩"</f>
        <v>前列腺按摩</v>
      </c>
      <c r="B967" s="1">
        <v>26</v>
      </c>
      <c r="C967" s="1" t="str">
        <f t="shared" si="295"/>
        <v>次</v>
      </c>
      <c r="D967" s="1" t="str">
        <f t="shared" si="290"/>
        <v>次</v>
      </c>
      <c r="E967" s="1" t="str">
        <f t="shared" si="294"/>
        <v>治疗费</v>
      </c>
    </row>
    <row r="968" spans="1:5">
      <c r="A968" s="1" t="str">
        <f>"前列腺注射"</f>
        <v>前列腺注射</v>
      </c>
      <c r="B968" s="1">
        <v>39</v>
      </c>
      <c r="C968" s="1" t="str">
        <f t="shared" si="295"/>
        <v>次</v>
      </c>
      <c r="D968" s="1" t="str">
        <f t="shared" si="290"/>
        <v>次</v>
      </c>
      <c r="E968" s="1" t="str">
        <f t="shared" si="294"/>
        <v>治疗费</v>
      </c>
    </row>
    <row r="969" spans="1:5">
      <c r="A969" s="1" t="str">
        <f>"前列腺特殊治疗"</f>
        <v>前列腺特殊治疗</v>
      </c>
      <c r="B969" s="1">
        <v>78</v>
      </c>
      <c r="C969" s="1" t="str">
        <f t="shared" si="295"/>
        <v>次</v>
      </c>
      <c r="D969" s="1" t="str">
        <f t="shared" si="290"/>
        <v>次</v>
      </c>
      <c r="E969" s="1" t="str">
        <f t="shared" si="294"/>
        <v>治疗费</v>
      </c>
    </row>
    <row r="970" spans="1:5">
      <c r="A970" s="1" t="str">
        <f>"鞘膜积液穿刺抽液术"</f>
        <v>鞘膜积液穿刺抽液术</v>
      </c>
      <c r="B970" s="1">
        <v>39</v>
      </c>
      <c r="C970" s="1" t="str">
        <f t="shared" si="295"/>
        <v>次</v>
      </c>
      <c r="D970" s="1" t="str">
        <f t="shared" si="290"/>
        <v>次</v>
      </c>
      <c r="E970" s="1" t="str">
        <f t="shared" si="294"/>
        <v>治疗费</v>
      </c>
    </row>
    <row r="971" spans="1:5">
      <c r="A971" s="1" t="str">
        <f>"电子阴道镜加收"</f>
        <v>电子阴道镜加收</v>
      </c>
      <c r="B971" s="1">
        <v>100</v>
      </c>
      <c r="C971" s="1" t="str">
        <f t="shared" si="295"/>
        <v>次</v>
      </c>
      <c r="D971" s="1" t="str">
        <f t="shared" si="290"/>
        <v>次</v>
      </c>
      <c r="E971" s="1" t="str">
        <f t="shared" si="294"/>
        <v>治疗费</v>
      </c>
    </row>
    <row r="972" spans="1:5">
      <c r="A972" s="1" t="str">
        <f>"荧光检测(阴道)"</f>
        <v>荧光检测(阴道)</v>
      </c>
      <c r="B972" s="1">
        <v>13</v>
      </c>
      <c r="C972" s="1" t="str">
        <f>"/"</f>
        <v>/</v>
      </c>
      <c r="D972" s="1" t="str">
        <f t="shared" si="290"/>
        <v>次</v>
      </c>
      <c r="E972" s="1" t="str">
        <f t="shared" ref="E972:E976" si="296">"检查费"</f>
        <v>检查费</v>
      </c>
    </row>
    <row r="973" spans="1:5">
      <c r="A973" s="1" t="str">
        <f>"荧光检查"</f>
        <v>荧光检查</v>
      </c>
      <c r="B973" s="1">
        <v>13</v>
      </c>
      <c r="C973" s="1" t="str">
        <f>"每个部位"</f>
        <v>每个部位</v>
      </c>
      <c r="D973" s="1" t="str">
        <f>"每个部位"</f>
        <v>每个部位</v>
      </c>
      <c r="E973" s="1" t="str">
        <f t="shared" ref="E973:E982" si="297">"治疗费"</f>
        <v>治疗费</v>
      </c>
    </row>
    <row r="974" spans="1:5">
      <c r="A974" s="1" t="str">
        <f>"荧光检查（阴道）"</f>
        <v>荧光检查（阴道）</v>
      </c>
      <c r="B974" s="1">
        <v>13</v>
      </c>
      <c r="C974" s="1">
        <v>1</v>
      </c>
      <c r="D974" s="1" t="str">
        <f t="shared" ref="D974:D985" si="298">"次"</f>
        <v>次</v>
      </c>
      <c r="E974" s="1" t="str">
        <f t="shared" si="296"/>
        <v>检查费</v>
      </c>
    </row>
    <row r="975" spans="1:5">
      <c r="A975" s="1" t="str">
        <f>"荧光检查（会阴）"</f>
        <v>荧光检查（会阴）</v>
      </c>
      <c r="B975" s="1">
        <v>13</v>
      </c>
      <c r="C975" s="1">
        <v>1</v>
      </c>
      <c r="D975" s="1" t="str">
        <f t="shared" si="298"/>
        <v>次</v>
      </c>
      <c r="E975" s="1" t="str">
        <f t="shared" si="296"/>
        <v>检查费</v>
      </c>
    </row>
    <row r="976" spans="1:5">
      <c r="A976" s="1" t="str">
        <f>"荧光检查（宫颈）"</f>
        <v>荧光检查（宫颈）</v>
      </c>
      <c r="B976" s="1">
        <v>13</v>
      </c>
      <c r="C976" s="1">
        <v>1</v>
      </c>
      <c r="D976" s="1" t="str">
        <f t="shared" si="298"/>
        <v>次</v>
      </c>
      <c r="E976" s="1" t="str">
        <f t="shared" si="296"/>
        <v>检查费</v>
      </c>
    </row>
    <row r="977" spans="1:5">
      <c r="A977" s="1" t="str">
        <f>"外阴活检术"</f>
        <v>外阴活检术</v>
      </c>
      <c r="B977" s="1">
        <v>26</v>
      </c>
      <c r="C977" s="1" t="str">
        <f>"-"</f>
        <v>-</v>
      </c>
      <c r="D977" s="1" t="str">
        <f t="shared" si="298"/>
        <v>次</v>
      </c>
      <c r="E977" s="1" t="str">
        <f t="shared" si="297"/>
        <v>治疗费</v>
      </c>
    </row>
    <row r="978" spans="1:5">
      <c r="A978" s="1" t="str">
        <f>"外阴病光照射治疗"</f>
        <v>外阴病光照射治疗</v>
      </c>
      <c r="B978" s="1">
        <v>13</v>
      </c>
      <c r="C978" s="1" t="str">
        <f t="shared" ref="C978:C985" si="299">"次"</f>
        <v>次</v>
      </c>
      <c r="D978" s="1" t="str">
        <f t="shared" si="298"/>
        <v>次</v>
      </c>
      <c r="E978" s="1" t="str">
        <f t="shared" si="297"/>
        <v>治疗费</v>
      </c>
    </row>
    <row r="979" spans="1:5">
      <c r="A979" s="1" t="str">
        <f>"阴道镜检查"</f>
        <v>阴道镜检查</v>
      </c>
      <c r="B979" s="1">
        <v>13</v>
      </c>
      <c r="C979" s="1" t="str">
        <f t="shared" si="299"/>
        <v>次</v>
      </c>
      <c r="D979" s="1" t="str">
        <f t="shared" si="298"/>
        <v>次</v>
      </c>
      <c r="E979" s="1" t="str">
        <f t="shared" si="297"/>
        <v>治疗费</v>
      </c>
    </row>
    <row r="980" spans="1:5">
      <c r="A980" s="1" t="str">
        <f>"阴道填塞"</f>
        <v>阴道填塞</v>
      </c>
      <c r="B980" s="1">
        <v>39</v>
      </c>
      <c r="C980" s="1" t="str">
        <f t="shared" si="299"/>
        <v>次</v>
      </c>
      <c r="D980" s="1" t="str">
        <f t="shared" si="298"/>
        <v>次</v>
      </c>
      <c r="E980" s="1" t="str">
        <f t="shared" si="297"/>
        <v>治疗费</v>
      </c>
    </row>
    <row r="981" spans="1:5">
      <c r="A981" s="1" t="str">
        <f>"阴道灌洗上药"</f>
        <v>阴道灌洗上药</v>
      </c>
      <c r="B981" s="1">
        <v>20</v>
      </c>
      <c r="C981" s="1" t="str">
        <f t="shared" si="299"/>
        <v>次</v>
      </c>
      <c r="D981" s="1" t="str">
        <f t="shared" si="298"/>
        <v>次</v>
      </c>
      <c r="E981" s="1" t="str">
        <f t="shared" si="297"/>
        <v>治疗费</v>
      </c>
    </row>
    <row r="982" spans="1:5">
      <c r="A982" s="1" t="str">
        <f>"后穹窿穿刺术"</f>
        <v>后穹窿穿刺术</v>
      </c>
      <c r="B982" s="1">
        <v>46</v>
      </c>
      <c r="C982" s="1" t="str">
        <f t="shared" si="299"/>
        <v>次</v>
      </c>
      <c r="D982" s="1" t="str">
        <f t="shared" si="298"/>
        <v>次</v>
      </c>
      <c r="E982" s="1" t="str">
        <f t="shared" si="297"/>
        <v>治疗费</v>
      </c>
    </row>
    <row r="983" spans="1:5">
      <c r="A983" s="1" t="str">
        <f>"后穹窿注射"</f>
        <v>后穹窿注射</v>
      </c>
      <c r="B983" s="1">
        <v>46</v>
      </c>
      <c r="C983" s="1" t="str">
        <f t="shared" si="299"/>
        <v>次</v>
      </c>
      <c r="D983" s="1" t="str">
        <f t="shared" si="298"/>
        <v>次</v>
      </c>
      <c r="E983" s="1" t="str">
        <f>"注射费"</f>
        <v>注射费</v>
      </c>
    </row>
    <row r="984" spans="1:5">
      <c r="A984" s="1" t="str">
        <f>"宫颈活检术"</f>
        <v>宫颈活检术</v>
      </c>
      <c r="B984" s="1">
        <v>39</v>
      </c>
      <c r="C984" s="1" t="str">
        <f t="shared" si="299"/>
        <v>次</v>
      </c>
      <c r="D984" s="1" t="str">
        <f t="shared" si="298"/>
        <v>次</v>
      </c>
      <c r="E984" s="1" t="str">
        <f t="shared" ref="E984:E989" si="300">"治疗费"</f>
        <v>治疗费</v>
      </c>
    </row>
    <row r="985" spans="1:5">
      <c r="A985" s="1" t="str">
        <f>"宫颈上药"</f>
        <v>宫颈上药</v>
      </c>
      <c r="B985" s="1">
        <v>13</v>
      </c>
      <c r="C985" s="1" t="str">
        <f t="shared" si="299"/>
        <v>次</v>
      </c>
      <c r="D985" s="1" t="str">
        <f t="shared" si="298"/>
        <v>次</v>
      </c>
      <c r="E985" s="1" t="str">
        <f t="shared" si="300"/>
        <v>治疗费</v>
      </c>
    </row>
    <row r="986" spans="1:5">
      <c r="A986" s="1" t="str">
        <f>"宫颈注射"</f>
        <v>宫颈注射</v>
      </c>
      <c r="B986" s="1">
        <v>13</v>
      </c>
      <c r="C986" s="1" t="str">
        <f>"项"</f>
        <v>项</v>
      </c>
      <c r="D986" s="1" t="str">
        <f>"项"</f>
        <v>项</v>
      </c>
      <c r="E986" s="1" t="str">
        <f>"手术治疗费"</f>
        <v>手术治疗费</v>
      </c>
    </row>
    <row r="987" spans="1:5">
      <c r="A987" s="1" t="str">
        <f>"宫颈扩张术"</f>
        <v>宫颈扩张术</v>
      </c>
      <c r="B987" s="1">
        <v>39</v>
      </c>
      <c r="C987" s="1" t="str">
        <f t="shared" ref="C987:C996" si="301">"次"</f>
        <v>次</v>
      </c>
      <c r="D987" s="1" t="str">
        <f t="shared" ref="D987:D996" si="302">"次"</f>
        <v>次</v>
      </c>
      <c r="E987" s="1" t="str">
        <f t="shared" ref="E987:E990" si="303">"手术费"</f>
        <v>手术费</v>
      </c>
    </row>
    <row r="988" spans="1:5">
      <c r="A988" s="1" t="str">
        <f>"宫颈内口探查术"</f>
        <v>宫颈内口探查术</v>
      </c>
      <c r="B988" s="1">
        <v>52</v>
      </c>
      <c r="C988" s="1" t="str">
        <f t="shared" si="301"/>
        <v>次</v>
      </c>
      <c r="D988" s="1" t="str">
        <f t="shared" si="302"/>
        <v>次</v>
      </c>
      <c r="E988" s="1" t="str">
        <f t="shared" si="303"/>
        <v>手术费</v>
      </c>
    </row>
    <row r="989" spans="1:5">
      <c r="A989" s="1" t="str">
        <f>"子宫托治疗"</f>
        <v>子宫托治疗</v>
      </c>
      <c r="B989" s="1">
        <v>52</v>
      </c>
      <c r="C989" s="1" t="str">
        <f t="shared" si="301"/>
        <v>次</v>
      </c>
      <c r="D989" s="1" t="str">
        <f t="shared" si="302"/>
        <v>次</v>
      </c>
      <c r="E989" s="1" t="str">
        <f t="shared" si="300"/>
        <v>治疗费</v>
      </c>
    </row>
    <row r="990" spans="1:5">
      <c r="A990" s="1" t="str">
        <f>"子宫内膜活检术"</f>
        <v>子宫内膜活检术</v>
      </c>
      <c r="B990" s="1">
        <v>78</v>
      </c>
      <c r="C990" s="1" t="str">
        <f t="shared" si="301"/>
        <v>次</v>
      </c>
      <c r="D990" s="1" t="str">
        <f t="shared" si="302"/>
        <v>次</v>
      </c>
      <c r="E990" s="1" t="str">
        <f t="shared" si="303"/>
        <v>手术费</v>
      </c>
    </row>
    <row r="991" spans="1:5">
      <c r="A991" s="1" t="str">
        <f>"子宫直肠凹封闭术"</f>
        <v>子宫直肠凹封闭术</v>
      </c>
      <c r="B991" s="1">
        <v>26</v>
      </c>
      <c r="C991" s="1" t="str">
        <f t="shared" si="301"/>
        <v>次</v>
      </c>
      <c r="D991" s="1" t="str">
        <f t="shared" si="302"/>
        <v>次</v>
      </c>
      <c r="E991" s="1" t="str">
        <f t="shared" ref="E991:E994" si="304">"治疗费"</f>
        <v>治疗费</v>
      </c>
    </row>
    <row r="992" spans="1:5">
      <c r="A992" s="1" t="str">
        <f>"子宫输卵管通液术"</f>
        <v>子宫输卵管通液术</v>
      </c>
      <c r="B992" s="1">
        <v>52</v>
      </c>
      <c r="C992" s="1" t="str">
        <f t="shared" si="301"/>
        <v>次</v>
      </c>
      <c r="D992" s="1" t="str">
        <f t="shared" si="302"/>
        <v>次</v>
      </c>
      <c r="E992" s="1" t="str">
        <f t="shared" si="304"/>
        <v>治疗费</v>
      </c>
    </row>
    <row r="993" spans="1:5">
      <c r="A993" s="1" t="str">
        <f>"子宫内翻复位术"</f>
        <v>子宫内翻复位术</v>
      </c>
      <c r="B993" s="1">
        <v>208</v>
      </c>
      <c r="C993" s="1" t="str">
        <f t="shared" si="301"/>
        <v>次</v>
      </c>
      <c r="D993" s="1" t="str">
        <f t="shared" si="302"/>
        <v>次</v>
      </c>
      <c r="E993" s="1" t="str">
        <f t="shared" si="304"/>
        <v>治疗费</v>
      </c>
    </row>
    <row r="994" spans="1:5">
      <c r="A994" s="1" t="str">
        <f>"宫腔吸片"</f>
        <v>宫腔吸片</v>
      </c>
      <c r="B994" s="1">
        <v>78</v>
      </c>
      <c r="C994" s="1" t="str">
        <f t="shared" si="301"/>
        <v>次</v>
      </c>
      <c r="D994" s="1" t="str">
        <f t="shared" si="302"/>
        <v>次</v>
      </c>
      <c r="E994" s="1" t="str">
        <f t="shared" si="304"/>
        <v>治疗费</v>
      </c>
    </row>
    <row r="995" spans="1:5">
      <c r="A995" s="1" t="str">
        <f>"宫腔粘连分离术"</f>
        <v>宫腔粘连分离术</v>
      </c>
      <c r="B995" s="1">
        <v>52</v>
      </c>
      <c r="C995" s="1" t="str">
        <f t="shared" si="301"/>
        <v>次</v>
      </c>
      <c r="D995" s="1" t="str">
        <f t="shared" si="302"/>
        <v>次</v>
      </c>
      <c r="E995" s="1" t="str">
        <f>"手术费"</f>
        <v>手术费</v>
      </c>
    </row>
    <row r="996" spans="1:5">
      <c r="A996" s="1" t="str">
        <f>"宫腔填塞"</f>
        <v>宫腔填塞</v>
      </c>
      <c r="B996" s="1">
        <v>65</v>
      </c>
      <c r="C996" s="1" t="str">
        <f t="shared" si="301"/>
        <v>次</v>
      </c>
      <c r="D996" s="1" t="str">
        <f t="shared" si="302"/>
        <v>次</v>
      </c>
      <c r="E996" s="1" t="str">
        <f>"治疗费"</f>
        <v>治疗费</v>
      </c>
    </row>
    <row r="997" spans="1:5">
      <c r="A997" s="1" t="str">
        <f>"妇科特殊治疗"</f>
        <v>妇科特殊治疗</v>
      </c>
      <c r="B997" s="1">
        <v>26</v>
      </c>
      <c r="C997" s="1" t="str">
        <f>"每个部位"</f>
        <v>每个部位</v>
      </c>
      <c r="D997" s="1" t="str">
        <f>"每个部位"</f>
        <v>每个部位</v>
      </c>
      <c r="E997" s="1" t="str">
        <f>"治疗费"</f>
        <v>治疗费</v>
      </c>
    </row>
    <row r="998" spans="1:5">
      <c r="A998" s="1" t="str">
        <f>"腹腔穿刺插管盆腔滴注术"</f>
        <v>腹腔穿刺插管盆腔滴注术</v>
      </c>
      <c r="B998" s="1">
        <v>52</v>
      </c>
      <c r="C998" s="1" t="str">
        <f t="shared" ref="C998:C1001" si="305">"次"</f>
        <v>次</v>
      </c>
      <c r="D998" s="1" t="str">
        <f t="shared" ref="D998:D1001" si="306">"次"</f>
        <v>次</v>
      </c>
      <c r="E998" s="1" t="str">
        <f>"治疗费"</f>
        <v>治疗费</v>
      </c>
    </row>
    <row r="999" spans="1:5">
      <c r="A999" s="1" t="str">
        <f>"产前检查"</f>
        <v>产前检查</v>
      </c>
      <c r="B999" s="1">
        <v>10</v>
      </c>
      <c r="C999" s="1" t="str">
        <f t="shared" si="305"/>
        <v>次</v>
      </c>
      <c r="D999" s="1" t="str">
        <f t="shared" si="306"/>
        <v>次</v>
      </c>
      <c r="E999" s="1" t="str">
        <f t="shared" ref="E999:E1002" si="307">"检查费"</f>
        <v>检查费</v>
      </c>
    </row>
    <row r="1000" spans="1:5">
      <c r="A1000" s="1" t="str">
        <f>"胎心监测"</f>
        <v>胎心监测</v>
      </c>
      <c r="B1000" s="1">
        <v>26</v>
      </c>
      <c r="C1000" s="1" t="str">
        <f t="shared" si="305"/>
        <v>次</v>
      </c>
      <c r="D1000" s="1" t="str">
        <f t="shared" si="306"/>
        <v>次</v>
      </c>
      <c r="E1000" s="1" t="str">
        <f t="shared" si="307"/>
        <v>检查费</v>
      </c>
    </row>
    <row r="1001" spans="1:5">
      <c r="A1001" s="1" t="str">
        <f>"羊膜腔穿刺术"</f>
        <v>羊膜腔穿刺术</v>
      </c>
      <c r="B1001" s="1">
        <v>85</v>
      </c>
      <c r="C1001" s="1" t="str">
        <f t="shared" si="305"/>
        <v>次</v>
      </c>
      <c r="D1001" s="1" t="str">
        <f t="shared" si="306"/>
        <v>次</v>
      </c>
      <c r="E1001" s="1" t="str">
        <f t="shared" ref="E1001:E1007" si="308">"治疗费"</f>
        <v>治疗费</v>
      </c>
    </row>
    <row r="1002" spans="1:5">
      <c r="A1002" s="1" t="str">
        <f>"胎盘成熟度检测"</f>
        <v>胎盘成熟度检测</v>
      </c>
      <c r="B1002" s="1">
        <v>65</v>
      </c>
      <c r="C1002" s="1" t="str">
        <f>"项"</f>
        <v>项</v>
      </c>
      <c r="D1002" s="1" t="str">
        <f>"项"</f>
        <v>项</v>
      </c>
      <c r="E1002" s="1" t="str">
        <f t="shared" si="307"/>
        <v>检查费</v>
      </c>
    </row>
    <row r="1003" spans="1:5">
      <c r="A1003" s="1" t="str">
        <f>"输卵管绝育术"</f>
        <v>输卵管绝育术</v>
      </c>
      <c r="B1003" s="1">
        <v>78</v>
      </c>
      <c r="C1003" s="1" t="str">
        <f t="shared" ref="C1003:C1006" si="309">"次"</f>
        <v>次</v>
      </c>
      <c r="D1003" s="1" t="str">
        <f t="shared" ref="D1003:D1008" si="310">"次"</f>
        <v>次</v>
      </c>
      <c r="E1003" s="1" t="str">
        <f t="shared" si="308"/>
        <v>治疗费</v>
      </c>
    </row>
    <row r="1004" spans="1:5">
      <c r="A1004" s="1" t="str">
        <f>"宫内节育器放置术"</f>
        <v>宫内节育器放置术</v>
      </c>
      <c r="B1004" s="1">
        <v>180</v>
      </c>
      <c r="C1004" s="1" t="str">
        <f t="shared" si="309"/>
        <v>次</v>
      </c>
      <c r="D1004" s="1" t="str">
        <f t="shared" si="310"/>
        <v>次</v>
      </c>
      <c r="E1004" s="1" t="str">
        <f t="shared" ref="E1004:E1009" si="311">"手术费"</f>
        <v>手术费</v>
      </c>
    </row>
    <row r="1005" spans="1:5">
      <c r="A1005" s="1" t="str">
        <f>"宫内节育器取出术"</f>
        <v>宫内节育器取出术</v>
      </c>
      <c r="B1005" s="1">
        <v>180</v>
      </c>
      <c r="C1005" s="1">
        <v>1</v>
      </c>
      <c r="D1005" s="1" t="str">
        <f t="shared" si="310"/>
        <v>次</v>
      </c>
      <c r="E1005" s="1" t="str">
        <f t="shared" si="311"/>
        <v>手术费</v>
      </c>
    </row>
    <row r="1006" spans="1:5">
      <c r="A1006" s="1" t="str">
        <f>"避孕药皮下埋植术"</f>
        <v>避孕药皮下埋植术</v>
      </c>
      <c r="B1006" s="1">
        <v>130</v>
      </c>
      <c r="C1006" s="1" t="str">
        <f t="shared" si="309"/>
        <v>次</v>
      </c>
      <c r="D1006" s="1" t="str">
        <f t="shared" si="310"/>
        <v>次</v>
      </c>
      <c r="E1006" s="1" t="str">
        <f t="shared" si="308"/>
        <v>治疗费</v>
      </c>
    </row>
    <row r="1007" spans="1:5">
      <c r="A1007" s="1" t="str">
        <f>"皮下避孕药取出术"</f>
        <v>皮下避孕药取出术</v>
      </c>
      <c r="B1007" s="1">
        <v>130</v>
      </c>
      <c r="C1007" s="1">
        <v>1</v>
      </c>
      <c r="D1007" s="1" t="str">
        <f t="shared" si="310"/>
        <v>次</v>
      </c>
      <c r="E1007" s="1" t="str">
        <f t="shared" si="308"/>
        <v>治疗费</v>
      </c>
    </row>
    <row r="1008" spans="1:5">
      <c r="A1008" s="1" t="str">
        <f>"刮宫术"</f>
        <v>刮宫术</v>
      </c>
      <c r="B1008" s="1">
        <v>210</v>
      </c>
      <c r="C1008" s="1" t="str">
        <f t="shared" ref="C1008:C1016" si="312">"次"</f>
        <v>次</v>
      </c>
      <c r="D1008" s="1" t="str">
        <f t="shared" si="310"/>
        <v>次</v>
      </c>
      <c r="E1008" s="1" t="str">
        <f t="shared" si="311"/>
        <v>手术费</v>
      </c>
    </row>
    <row r="1009" spans="1:5">
      <c r="A1009" s="1" t="str">
        <f>"分段诊断性刮宫"</f>
        <v>分段诊断性刮宫</v>
      </c>
      <c r="B1009" s="1">
        <v>80</v>
      </c>
      <c r="C1009" s="1" t="str">
        <f>"项"</f>
        <v>项</v>
      </c>
      <c r="D1009" s="1" t="str">
        <f>"项"</f>
        <v>项</v>
      </c>
      <c r="E1009" s="1" t="str">
        <f t="shared" si="311"/>
        <v>手术费</v>
      </c>
    </row>
    <row r="1010" spans="1:5">
      <c r="A1010" s="1" t="str">
        <f>"产后刮宫术"</f>
        <v>产后刮宫术</v>
      </c>
      <c r="B1010" s="1">
        <v>104</v>
      </c>
      <c r="C1010" s="1" t="str">
        <f t="shared" si="312"/>
        <v>次</v>
      </c>
      <c r="D1010" s="1" t="str">
        <f t="shared" ref="D1010:D1016" si="313">"次"</f>
        <v>次</v>
      </c>
      <c r="E1010" s="1" t="str">
        <f t="shared" ref="E1010:E1023" si="314">"治疗费"</f>
        <v>治疗费</v>
      </c>
    </row>
    <row r="1011" spans="1:5">
      <c r="A1011" s="1" t="str">
        <f>"葡萄胎刮宫术"</f>
        <v>葡萄胎刮宫术</v>
      </c>
      <c r="B1011" s="1">
        <v>260</v>
      </c>
      <c r="C1011" s="1" t="str">
        <f t="shared" si="312"/>
        <v>次</v>
      </c>
      <c r="D1011" s="1" t="str">
        <f t="shared" si="313"/>
        <v>次</v>
      </c>
      <c r="E1011" s="1" t="str">
        <f t="shared" si="314"/>
        <v>治疗费</v>
      </c>
    </row>
    <row r="1012" spans="1:5">
      <c r="A1012" s="1" t="str">
        <f>"人工流产术"</f>
        <v>人工流产术</v>
      </c>
      <c r="B1012" s="1">
        <v>300</v>
      </c>
      <c r="C1012" s="1" t="str">
        <f t="shared" si="312"/>
        <v>次</v>
      </c>
      <c r="D1012" s="1" t="str">
        <f t="shared" si="313"/>
        <v>次</v>
      </c>
      <c r="E1012" s="1" t="str">
        <f>"手术费"</f>
        <v>手术费</v>
      </c>
    </row>
    <row r="1013" spans="1:5">
      <c r="A1013" s="1" t="str">
        <f>"子宫内水囊引产术"</f>
        <v>子宫内水囊引产术</v>
      </c>
      <c r="B1013" s="1">
        <v>156</v>
      </c>
      <c r="C1013" s="1" t="str">
        <f t="shared" si="312"/>
        <v>次</v>
      </c>
      <c r="D1013" s="1" t="str">
        <f t="shared" si="313"/>
        <v>次</v>
      </c>
      <c r="E1013" s="1" t="str">
        <f t="shared" si="314"/>
        <v>治疗费</v>
      </c>
    </row>
    <row r="1014" spans="1:5">
      <c r="A1014" s="1" t="str">
        <f>"催产素滴注引产术"</f>
        <v>催产素滴注引产术</v>
      </c>
      <c r="B1014" s="1">
        <v>104</v>
      </c>
      <c r="C1014" s="1" t="str">
        <f t="shared" si="312"/>
        <v>次</v>
      </c>
      <c r="D1014" s="1" t="str">
        <f t="shared" si="313"/>
        <v>次</v>
      </c>
      <c r="E1014" s="1" t="str">
        <f t="shared" si="314"/>
        <v>治疗费</v>
      </c>
    </row>
    <row r="1015" spans="1:5">
      <c r="A1015" s="1" t="str">
        <f>"药物性引产处置术"</f>
        <v>药物性引产处置术</v>
      </c>
      <c r="B1015" s="1">
        <v>104</v>
      </c>
      <c r="C1015" s="1" t="str">
        <f t="shared" si="312"/>
        <v>次</v>
      </c>
      <c r="D1015" s="1" t="str">
        <f t="shared" si="313"/>
        <v>次</v>
      </c>
      <c r="E1015" s="1" t="str">
        <f t="shared" si="314"/>
        <v>治疗费</v>
      </c>
    </row>
    <row r="1016" spans="1:5">
      <c r="A1016" s="1" t="str">
        <f>"乳房按摩"</f>
        <v>乳房按摩</v>
      </c>
      <c r="B1016" s="1">
        <v>6.5</v>
      </c>
      <c r="C1016" s="1" t="str">
        <f t="shared" si="312"/>
        <v>次</v>
      </c>
      <c r="D1016" s="1" t="str">
        <f t="shared" si="313"/>
        <v>次</v>
      </c>
      <c r="E1016" s="1" t="str">
        <f t="shared" si="314"/>
        <v>治疗费</v>
      </c>
    </row>
    <row r="1017" spans="1:5">
      <c r="A1017" s="1" t="str">
        <f>"新生儿暖箱"</f>
        <v>新生儿暖箱</v>
      </c>
      <c r="B1017" s="1">
        <v>2</v>
      </c>
      <c r="C1017" s="1" t="str">
        <f>"小时"</f>
        <v>小时</v>
      </c>
      <c r="D1017" s="1" t="str">
        <f>"小时"</f>
        <v>小时</v>
      </c>
      <c r="E1017" s="1" t="str">
        <f t="shared" si="314"/>
        <v>治疗费</v>
      </c>
    </row>
    <row r="1018" spans="1:5">
      <c r="A1018" s="1" t="str">
        <f>"新生儿复苏"</f>
        <v>新生儿复苏</v>
      </c>
      <c r="B1018" s="1">
        <v>117</v>
      </c>
      <c r="C1018" s="1" t="str">
        <f t="shared" ref="C1018:C1020" si="315">"次"</f>
        <v>次</v>
      </c>
      <c r="D1018" s="1" t="str">
        <f t="shared" ref="D1018:D1020" si="316">"次"</f>
        <v>次</v>
      </c>
      <c r="E1018" s="1" t="str">
        <f t="shared" si="314"/>
        <v>治疗费</v>
      </c>
    </row>
    <row r="1019" spans="1:5">
      <c r="A1019" s="1" t="str">
        <f>"新生儿气管插管术"</f>
        <v>新生儿气管插管术</v>
      </c>
      <c r="B1019" s="1">
        <v>10</v>
      </c>
      <c r="C1019" s="1" t="str">
        <f t="shared" si="315"/>
        <v>次</v>
      </c>
      <c r="D1019" s="1" t="str">
        <f t="shared" si="316"/>
        <v>次</v>
      </c>
      <c r="E1019" s="1" t="str">
        <f t="shared" si="314"/>
        <v>治疗费</v>
      </c>
    </row>
    <row r="1020" spans="1:5">
      <c r="A1020" s="1" t="str">
        <f>"新生儿人工呼吸(正压通气)"</f>
        <v>新生儿人工呼吸(正压通气)</v>
      </c>
      <c r="B1020" s="1">
        <v>52</v>
      </c>
      <c r="C1020" s="1" t="str">
        <f t="shared" si="315"/>
        <v>次</v>
      </c>
      <c r="D1020" s="1" t="str">
        <f t="shared" si="316"/>
        <v>次</v>
      </c>
      <c r="E1020" s="1" t="str">
        <f t="shared" si="314"/>
        <v>治疗费</v>
      </c>
    </row>
    <row r="1021" spans="1:5">
      <c r="A1021" s="1" t="str">
        <f>"新生儿监护"</f>
        <v>新生儿监护</v>
      </c>
      <c r="B1021" s="1">
        <v>6.5</v>
      </c>
      <c r="C1021" s="1" t="str">
        <f>"小时"</f>
        <v>小时</v>
      </c>
      <c r="D1021" s="1" t="str">
        <f>"小时"</f>
        <v>小时</v>
      </c>
      <c r="E1021" s="1" t="str">
        <f t="shared" si="314"/>
        <v>治疗费</v>
      </c>
    </row>
    <row r="1022" spans="1:5">
      <c r="A1022" s="1" t="str">
        <f>"新生儿脐静脉穿刺和注射"</f>
        <v>新生儿脐静脉穿刺和注射</v>
      </c>
      <c r="B1022" s="1">
        <v>6.5</v>
      </c>
      <c r="C1022" s="1" t="str">
        <f>"次"</f>
        <v>次</v>
      </c>
      <c r="D1022" s="1" t="str">
        <f>"次"</f>
        <v>次</v>
      </c>
      <c r="E1022" s="1" t="str">
        <f t="shared" si="314"/>
        <v>治疗费</v>
      </c>
    </row>
    <row r="1023" spans="1:5">
      <c r="A1023" s="1" t="str">
        <f>"新生儿经皮胆红素测定（头部）"</f>
        <v>新生儿经皮胆红素测定（头部）</v>
      </c>
      <c r="B1023" s="1">
        <v>6.5</v>
      </c>
      <c r="C1023" s="1">
        <v>1</v>
      </c>
      <c r="D1023" s="1" t="str">
        <f>"每次"</f>
        <v>每次</v>
      </c>
      <c r="E1023" s="1" t="str">
        <f t="shared" si="314"/>
        <v>治疗费</v>
      </c>
    </row>
    <row r="1024" spans="1:5">
      <c r="A1024" s="1" t="str">
        <f>"新生儿经皮胆红素测定（胸部）"</f>
        <v>新生儿经皮胆红素测定（胸部）</v>
      </c>
      <c r="B1024" s="1">
        <v>6.5</v>
      </c>
      <c r="C1024" s="1" t="str">
        <f>"每个部位"</f>
        <v>每个部位</v>
      </c>
      <c r="D1024" s="1" t="str">
        <f>"每个部位"</f>
        <v>每个部位</v>
      </c>
      <c r="E1024" s="1" t="str">
        <f>"检查费"</f>
        <v>检查费</v>
      </c>
    </row>
    <row r="1025" spans="1:5">
      <c r="A1025" s="1" t="str">
        <f>"新生儿经皮胆红素测定（腿部）"</f>
        <v>新生儿经皮胆红素测定（腿部）</v>
      </c>
      <c r="B1025" s="1">
        <v>6.5</v>
      </c>
      <c r="C1025" s="1" t="str">
        <f>"每个 部位"</f>
        <v>每个 部位</v>
      </c>
      <c r="D1025" s="1" t="str">
        <f>"每个 部位"</f>
        <v>每个 部位</v>
      </c>
      <c r="E1025" s="1" t="str">
        <f>"检查费"</f>
        <v>检查费</v>
      </c>
    </row>
    <row r="1026" spans="1:5">
      <c r="A1026" s="1" t="str">
        <f>"新生儿辐射抢救治疗"</f>
        <v>新生儿辐射抢救治疗</v>
      </c>
      <c r="B1026" s="1">
        <v>3.9</v>
      </c>
      <c r="C1026" s="1" t="str">
        <f>"小时"</f>
        <v>小时</v>
      </c>
      <c r="D1026" s="1" t="str">
        <f>"小时"</f>
        <v>小时</v>
      </c>
      <c r="E1026" s="1" t="str">
        <f t="shared" ref="E1026:E1040" si="317">"治疗费"</f>
        <v>治疗费</v>
      </c>
    </row>
    <row r="1027" spans="1:5">
      <c r="A1027" s="1" t="str">
        <f>"新生儿量表检查"</f>
        <v>新生儿量表检查</v>
      </c>
      <c r="B1027" s="1">
        <v>13</v>
      </c>
      <c r="C1027" s="1" t="str">
        <f t="shared" ref="C1027:C1033" si="318">"次"</f>
        <v>次</v>
      </c>
      <c r="D1027" s="1" t="str">
        <f t="shared" ref="D1027:D1040" si="319">"次"</f>
        <v>次</v>
      </c>
      <c r="E1027" s="1" t="str">
        <f t="shared" si="317"/>
        <v>治疗费</v>
      </c>
    </row>
    <row r="1028" spans="1:5">
      <c r="A1028" s="1" t="str">
        <f>"关节穿刺术"</f>
        <v>关节穿刺术</v>
      </c>
      <c r="B1028" s="1">
        <v>65</v>
      </c>
      <c r="C1028" s="1" t="str">
        <f t="shared" si="318"/>
        <v>次</v>
      </c>
      <c r="D1028" s="1" t="str">
        <f t="shared" si="319"/>
        <v>次</v>
      </c>
      <c r="E1028" s="1" t="str">
        <f t="shared" si="317"/>
        <v>治疗费</v>
      </c>
    </row>
    <row r="1029" spans="1:5">
      <c r="A1029" s="1" t="str">
        <f>"关节腔灌注治疗"</f>
        <v>关节腔灌注治疗</v>
      </c>
      <c r="B1029" s="1">
        <v>104</v>
      </c>
      <c r="C1029" s="1" t="str">
        <f t="shared" si="318"/>
        <v>次</v>
      </c>
      <c r="D1029" s="1" t="str">
        <f t="shared" si="319"/>
        <v>次</v>
      </c>
      <c r="E1029" s="1" t="str">
        <f t="shared" si="317"/>
        <v>治疗费</v>
      </c>
    </row>
    <row r="1030" spans="1:5">
      <c r="A1030" s="1" t="str">
        <f>"软组织内封闭术"</f>
        <v>软组织内封闭术</v>
      </c>
      <c r="B1030" s="1">
        <v>33</v>
      </c>
      <c r="C1030" s="1" t="str">
        <f t="shared" si="318"/>
        <v>次</v>
      </c>
      <c r="D1030" s="1" t="str">
        <f t="shared" si="319"/>
        <v>次</v>
      </c>
      <c r="E1030" s="1" t="str">
        <f t="shared" si="317"/>
        <v>治疗费</v>
      </c>
    </row>
    <row r="1031" spans="1:5">
      <c r="A1031" s="1" t="str">
        <f>"神经根封闭术"</f>
        <v>神经根封闭术</v>
      </c>
      <c r="B1031" s="1">
        <v>52</v>
      </c>
      <c r="C1031" s="1" t="str">
        <f t="shared" si="318"/>
        <v>次</v>
      </c>
      <c r="D1031" s="1" t="str">
        <f t="shared" si="319"/>
        <v>次</v>
      </c>
      <c r="E1031" s="1" t="str">
        <f t="shared" si="317"/>
        <v>治疗费</v>
      </c>
    </row>
    <row r="1032" spans="1:5">
      <c r="A1032" s="1" t="str">
        <f>"周围神经封闭术"</f>
        <v>周围神经封闭术</v>
      </c>
      <c r="B1032" s="1">
        <v>33</v>
      </c>
      <c r="C1032" s="1" t="str">
        <f t="shared" si="318"/>
        <v>次</v>
      </c>
      <c r="D1032" s="1" t="str">
        <f t="shared" si="319"/>
        <v>次</v>
      </c>
      <c r="E1032" s="1" t="str">
        <f t="shared" si="317"/>
        <v>治疗费</v>
      </c>
    </row>
    <row r="1033" spans="1:5">
      <c r="A1033" s="1" t="str">
        <f>"神经丛封闭术"</f>
        <v>神经丛封闭术</v>
      </c>
      <c r="B1033" s="1">
        <v>46</v>
      </c>
      <c r="C1033" s="1" t="str">
        <f t="shared" si="318"/>
        <v>次</v>
      </c>
      <c r="D1033" s="1" t="str">
        <f t="shared" si="319"/>
        <v>次</v>
      </c>
      <c r="E1033" s="1" t="str">
        <f t="shared" si="317"/>
        <v>治疗费</v>
      </c>
    </row>
    <row r="1034" spans="1:5">
      <c r="A1034" s="1" t="str">
        <f>"神经丛封闭术（腰骶丛）"</f>
        <v>神经丛封闭术（腰骶丛）</v>
      </c>
      <c r="B1034" s="1">
        <v>46</v>
      </c>
      <c r="C1034" s="1">
        <v>1</v>
      </c>
      <c r="D1034" s="1" t="str">
        <f t="shared" si="319"/>
        <v>次</v>
      </c>
      <c r="E1034" s="1" t="str">
        <f t="shared" si="317"/>
        <v>治疗费</v>
      </c>
    </row>
    <row r="1035" spans="1:5">
      <c r="A1035" s="1" t="str">
        <f>"神经丛封闭术（臂丛）"</f>
        <v>神经丛封闭术（臂丛）</v>
      </c>
      <c r="B1035" s="1">
        <v>46</v>
      </c>
      <c r="C1035" s="1">
        <v>1</v>
      </c>
      <c r="D1035" s="1" t="str">
        <f t="shared" si="319"/>
        <v>次</v>
      </c>
      <c r="E1035" s="1" t="str">
        <f t="shared" si="317"/>
        <v>治疗费</v>
      </c>
    </row>
    <row r="1036" spans="1:5">
      <c r="A1036" s="1" t="str">
        <f>"鞘内封闭"</f>
        <v>鞘内封闭</v>
      </c>
      <c r="B1036" s="1">
        <v>65</v>
      </c>
      <c r="C1036" s="1">
        <v>1</v>
      </c>
      <c r="D1036" s="1" t="str">
        <f t="shared" si="319"/>
        <v>次</v>
      </c>
      <c r="E1036" s="1" t="str">
        <f t="shared" si="317"/>
        <v>治疗费</v>
      </c>
    </row>
    <row r="1037" spans="1:5">
      <c r="A1037" s="1" t="str">
        <f>"鞘内注射"</f>
        <v>鞘内注射</v>
      </c>
      <c r="B1037" s="1">
        <v>65</v>
      </c>
      <c r="C1037" s="1" t="str">
        <f t="shared" ref="C1037:C1040" si="320">"次"</f>
        <v>次</v>
      </c>
      <c r="D1037" s="1" t="str">
        <f t="shared" si="319"/>
        <v>次</v>
      </c>
      <c r="E1037" s="1" t="str">
        <f t="shared" si="317"/>
        <v>治疗费</v>
      </c>
    </row>
    <row r="1038" spans="1:5">
      <c r="A1038" s="1" t="str">
        <f>"骶管滴注"</f>
        <v>骶管滴注</v>
      </c>
      <c r="B1038" s="1">
        <v>91</v>
      </c>
      <c r="C1038" s="1" t="str">
        <f t="shared" si="320"/>
        <v>次</v>
      </c>
      <c r="D1038" s="1" t="str">
        <f t="shared" si="319"/>
        <v>次</v>
      </c>
      <c r="E1038" s="1" t="str">
        <f t="shared" si="317"/>
        <v>治疗费</v>
      </c>
    </row>
    <row r="1039" spans="1:5">
      <c r="A1039" s="1" t="str">
        <f>"性病检查"</f>
        <v>性病检查</v>
      </c>
      <c r="B1039" s="1">
        <v>20</v>
      </c>
      <c r="C1039" s="1" t="str">
        <f t="shared" si="320"/>
        <v>次</v>
      </c>
      <c r="D1039" s="1" t="str">
        <f t="shared" si="319"/>
        <v>次</v>
      </c>
      <c r="E1039" s="1" t="str">
        <f t="shared" si="317"/>
        <v>治疗费</v>
      </c>
    </row>
    <row r="1040" spans="1:5">
      <c r="A1040" s="1" t="str">
        <f>"皮肤活检术"</f>
        <v>皮肤活检术</v>
      </c>
      <c r="B1040" s="1">
        <v>39</v>
      </c>
      <c r="C1040" s="1" t="str">
        <f t="shared" si="320"/>
        <v>次</v>
      </c>
      <c r="D1040" s="1" t="str">
        <f t="shared" si="319"/>
        <v>次</v>
      </c>
      <c r="E1040" s="1" t="str">
        <f t="shared" si="317"/>
        <v>治疗费</v>
      </c>
    </row>
    <row r="1041" spans="1:5">
      <c r="A1041" s="1" t="str">
        <f>"皮肤直接免疫荧光检查"</f>
        <v>皮肤直接免疫荧光检查</v>
      </c>
      <c r="B1041" s="1">
        <v>65</v>
      </c>
      <c r="C1041" s="1" t="str">
        <f>"项"</f>
        <v>项</v>
      </c>
      <c r="D1041" s="1" t="str">
        <f>"项"</f>
        <v>项</v>
      </c>
      <c r="E1041" s="1" t="str">
        <f>"检查费"</f>
        <v>检查费</v>
      </c>
    </row>
    <row r="1042" spans="1:5">
      <c r="A1042" s="1" t="str">
        <f>"皮损取材检查"</f>
        <v>皮损取材检查</v>
      </c>
      <c r="B1042" s="1">
        <v>20</v>
      </c>
      <c r="C1042" s="1" t="str">
        <f t="shared" ref="C1042:C1044" si="321">"次"</f>
        <v>次</v>
      </c>
      <c r="D1042" s="1" t="str">
        <f>"每个取材部"</f>
        <v>每个取材部</v>
      </c>
      <c r="E1042" s="1" t="str">
        <f t="shared" ref="E1042:E1050" si="322">"治疗费"</f>
        <v>治疗费</v>
      </c>
    </row>
    <row r="1043" spans="1:5">
      <c r="A1043" s="1" t="str">
        <f>"醋酸白试验"</f>
        <v>醋酸白试验</v>
      </c>
      <c r="B1043" s="1">
        <v>6.5</v>
      </c>
      <c r="C1043" s="1" t="str">
        <f t="shared" si="321"/>
        <v>次</v>
      </c>
      <c r="D1043" s="1" t="str">
        <f t="shared" ref="D1043:D1048" si="323">"次"</f>
        <v>次</v>
      </c>
      <c r="E1043" s="1" t="str">
        <f t="shared" si="322"/>
        <v>治疗费</v>
      </c>
    </row>
    <row r="1044" spans="1:5">
      <c r="A1044" s="1" t="str">
        <f>"皮肤赘生物电烧治疗"</f>
        <v>皮肤赘生物电烧治疗</v>
      </c>
      <c r="B1044" s="1">
        <v>6.5</v>
      </c>
      <c r="C1044" s="1" t="str">
        <f t="shared" si="321"/>
        <v>次</v>
      </c>
      <c r="D1044" s="1" t="str">
        <f t="shared" si="323"/>
        <v>次</v>
      </c>
      <c r="E1044" s="1" t="str">
        <f t="shared" si="322"/>
        <v>治疗费</v>
      </c>
    </row>
    <row r="1045" spans="1:5">
      <c r="A1045" s="1" t="str">
        <f>"红光治疗"</f>
        <v>红光治疗</v>
      </c>
      <c r="B1045" s="1">
        <v>28</v>
      </c>
      <c r="C1045" s="1" t="str">
        <f>"每个部位"</f>
        <v>每个部位</v>
      </c>
      <c r="D1045" s="1" t="str">
        <f>"每个部位"</f>
        <v>每个部位</v>
      </c>
      <c r="E1045" s="1" t="str">
        <f t="shared" si="322"/>
        <v>治疗费</v>
      </c>
    </row>
    <row r="1046" spans="1:5">
      <c r="A1046" s="1" t="str">
        <f>"刮疣治疗"</f>
        <v>刮疣治疗</v>
      </c>
      <c r="B1046" s="1">
        <v>7.5</v>
      </c>
      <c r="C1046" s="1" t="str">
        <f t="shared" ref="C1046:C1048" si="324">"次"</f>
        <v>次</v>
      </c>
      <c r="D1046" s="1" t="str">
        <f>"每个"</f>
        <v>每个</v>
      </c>
      <c r="E1046" s="1" t="str">
        <f t="shared" si="322"/>
        <v>治疗费</v>
      </c>
    </row>
    <row r="1047" spans="1:5">
      <c r="A1047" s="1" t="str">
        <f>"甲癣封包治疗"</f>
        <v>甲癣封包治疗</v>
      </c>
      <c r="B1047" s="1">
        <v>20</v>
      </c>
      <c r="C1047" s="1" t="str">
        <f t="shared" si="324"/>
        <v>次</v>
      </c>
      <c r="D1047" s="1" t="str">
        <f>"每个指(趾)甲"</f>
        <v>每个指(趾)甲</v>
      </c>
      <c r="E1047" s="1" t="str">
        <f t="shared" si="322"/>
        <v>治疗费</v>
      </c>
    </row>
    <row r="1048" spans="1:5">
      <c r="A1048" s="1" t="str">
        <f>"拔甲治疗"</f>
        <v>拔甲治疗</v>
      </c>
      <c r="B1048" s="1">
        <v>38</v>
      </c>
      <c r="C1048" s="1" t="str">
        <f t="shared" si="324"/>
        <v>次</v>
      </c>
      <c r="D1048" s="1" t="str">
        <f t="shared" si="323"/>
        <v>次</v>
      </c>
      <c r="E1048" s="1" t="str">
        <f t="shared" si="322"/>
        <v>治疗费</v>
      </c>
    </row>
    <row r="1049" spans="1:5">
      <c r="A1049" s="1" t="str">
        <f>"疱病清疮术"</f>
        <v>疱病清疮术</v>
      </c>
      <c r="B1049" s="1">
        <v>20</v>
      </c>
      <c r="C1049" s="1" t="str">
        <f>"每个部位"</f>
        <v>每个部位</v>
      </c>
      <c r="D1049" s="1" t="str">
        <f>"每个部位"</f>
        <v>每个部位</v>
      </c>
      <c r="E1049" s="1" t="str">
        <f t="shared" si="322"/>
        <v>治疗费</v>
      </c>
    </row>
    <row r="1050" spans="1:5">
      <c r="A1050" s="1" t="str">
        <f>"疱液抽取术"</f>
        <v>疱液抽取术</v>
      </c>
      <c r="B1050" s="1">
        <v>4.5</v>
      </c>
      <c r="C1050" s="1" t="str">
        <f>"每个"</f>
        <v>每个</v>
      </c>
      <c r="D1050" s="1" t="str">
        <f>"个"</f>
        <v>个</v>
      </c>
      <c r="E1050" s="1" t="str">
        <f t="shared" si="322"/>
        <v>治疗费</v>
      </c>
    </row>
    <row r="1051" spans="1:5">
      <c r="A1051" s="1" t="str">
        <f>"皮肤溃疡清创术"</f>
        <v>皮肤溃疡清创术</v>
      </c>
      <c r="B1051" s="1">
        <v>15</v>
      </c>
      <c r="C1051" s="1" t="str">
        <f t="shared" ref="C1051:C1061" si="325">"次"</f>
        <v>次</v>
      </c>
      <c r="D1051" s="1" t="str">
        <f>"每创面"</f>
        <v>每创面</v>
      </c>
      <c r="E1051" s="1" t="str">
        <f>"手术费"</f>
        <v>手术费</v>
      </c>
    </row>
    <row r="1052" spans="1:5">
      <c r="A1052" s="1" t="str">
        <f>"鸡眼刮除术"</f>
        <v>鸡眼刮除术</v>
      </c>
      <c r="B1052" s="1">
        <v>28</v>
      </c>
      <c r="C1052" s="1" t="str">
        <f t="shared" si="325"/>
        <v>次</v>
      </c>
      <c r="D1052" s="1" t="str">
        <f>"每个"</f>
        <v>每个</v>
      </c>
      <c r="E1052" s="1" t="str">
        <f t="shared" ref="E1052:E1058" si="326">"治疗费"</f>
        <v>治疗费</v>
      </c>
    </row>
    <row r="1053" spans="1:5">
      <c r="A1053" s="1" t="str">
        <f>"脉冲激光治疗"</f>
        <v>脉冲激光治疗</v>
      </c>
      <c r="B1053" s="1">
        <v>13</v>
      </c>
      <c r="C1053" s="1" t="str">
        <f t="shared" si="325"/>
        <v>次</v>
      </c>
      <c r="D1053" s="1" t="str">
        <f>"每个光斑"</f>
        <v>每个光斑</v>
      </c>
      <c r="E1053" s="1" t="str">
        <f t="shared" si="326"/>
        <v>治疗费</v>
      </c>
    </row>
    <row r="1054" spans="1:5">
      <c r="A1054" s="1" t="str">
        <f>"二氧化碳(CO2)激光治疗"</f>
        <v>二氧化碳(CO2)激光治疗</v>
      </c>
      <c r="B1054" s="1">
        <v>29</v>
      </c>
      <c r="C1054" s="1" t="str">
        <f t="shared" si="325"/>
        <v>次</v>
      </c>
      <c r="D1054" s="1" t="str">
        <f>"每个 皮损"</f>
        <v>每个 皮损</v>
      </c>
      <c r="E1054" s="1" t="str">
        <f t="shared" si="326"/>
        <v>治疗费</v>
      </c>
    </row>
    <row r="1055" spans="1:5">
      <c r="A1055" s="1" t="str">
        <f>"烧伤抢救(大)"</f>
        <v>烧伤抢救(大)</v>
      </c>
      <c r="B1055" s="1">
        <v>715</v>
      </c>
      <c r="C1055" s="1" t="str">
        <f t="shared" si="325"/>
        <v>次</v>
      </c>
      <c r="D1055" s="1" t="str">
        <f t="shared" ref="D1055:D1061" si="327">"次"</f>
        <v>次</v>
      </c>
      <c r="E1055" s="1" t="str">
        <f t="shared" si="326"/>
        <v>治疗费</v>
      </c>
    </row>
    <row r="1056" spans="1:5">
      <c r="A1056" s="1" t="str">
        <f>"烧伤抢救(中)"</f>
        <v>烧伤抢救(中)</v>
      </c>
      <c r="B1056" s="1">
        <v>520</v>
      </c>
      <c r="C1056" s="1" t="str">
        <f t="shared" si="325"/>
        <v>次</v>
      </c>
      <c r="D1056" s="1" t="str">
        <f t="shared" si="327"/>
        <v>次</v>
      </c>
      <c r="E1056" s="1" t="str">
        <f t="shared" si="326"/>
        <v>治疗费</v>
      </c>
    </row>
    <row r="1057" spans="1:5">
      <c r="A1057" s="1" t="str">
        <f>"烧伤抢救(小)"</f>
        <v>烧伤抢救(小)</v>
      </c>
      <c r="B1057" s="1">
        <v>390</v>
      </c>
      <c r="C1057" s="1" t="str">
        <f t="shared" si="325"/>
        <v>次</v>
      </c>
      <c r="D1057" s="1" t="str">
        <f t="shared" si="327"/>
        <v>次</v>
      </c>
      <c r="E1057" s="1" t="str">
        <f t="shared" si="326"/>
        <v>治疗费</v>
      </c>
    </row>
    <row r="1058" spans="1:5">
      <c r="A1058" s="1" t="str">
        <f>"烧伤复合伤抢救"</f>
        <v>烧伤复合伤抢救</v>
      </c>
      <c r="B1058" s="1">
        <v>520</v>
      </c>
      <c r="C1058" s="1" t="str">
        <f t="shared" si="325"/>
        <v>次</v>
      </c>
      <c r="D1058" s="1" t="str">
        <f t="shared" si="327"/>
        <v>次</v>
      </c>
      <c r="E1058" s="1" t="str">
        <f t="shared" si="326"/>
        <v>治疗费</v>
      </c>
    </row>
    <row r="1059" spans="1:5">
      <c r="A1059" s="1" t="str">
        <f>"烧伤冲洗清创术(大)"</f>
        <v>烧伤冲洗清创术(大)</v>
      </c>
      <c r="B1059" s="1">
        <v>370</v>
      </c>
      <c r="C1059" s="1" t="str">
        <f t="shared" si="325"/>
        <v>次</v>
      </c>
      <c r="D1059" s="1" t="str">
        <f t="shared" si="327"/>
        <v>次</v>
      </c>
      <c r="E1059" s="1" t="str">
        <f t="shared" ref="E1059:E1061" si="328">"手术费"</f>
        <v>手术费</v>
      </c>
    </row>
    <row r="1060" spans="1:5">
      <c r="A1060" s="1" t="str">
        <f>"烧伤冲洗清创术(中)"</f>
        <v>烧伤冲洗清创术(中)</v>
      </c>
      <c r="B1060" s="1">
        <v>225</v>
      </c>
      <c r="C1060" s="1" t="str">
        <f t="shared" si="325"/>
        <v>次</v>
      </c>
      <c r="D1060" s="1" t="str">
        <f t="shared" si="327"/>
        <v>次</v>
      </c>
      <c r="E1060" s="1" t="str">
        <f t="shared" si="328"/>
        <v>手术费</v>
      </c>
    </row>
    <row r="1061" spans="1:5">
      <c r="A1061" s="1" t="str">
        <f>"烧伤冲洗清创术(小)"</f>
        <v>烧伤冲洗清创术(小)</v>
      </c>
      <c r="B1061" s="1">
        <v>145</v>
      </c>
      <c r="C1061" s="1" t="str">
        <f t="shared" si="325"/>
        <v>次</v>
      </c>
      <c r="D1061" s="1" t="str">
        <f t="shared" si="327"/>
        <v>次</v>
      </c>
      <c r="E1061" s="1" t="str">
        <f t="shared" si="328"/>
        <v>手术费</v>
      </c>
    </row>
    <row r="1062" spans="1:5">
      <c r="A1062" s="1" t="str">
        <f>"护架烤灯"</f>
        <v>护架烤灯</v>
      </c>
      <c r="B1062" s="1">
        <v>5.2</v>
      </c>
      <c r="C1062" s="1" t="str">
        <f>"千瓦时"</f>
        <v>千瓦时</v>
      </c>
      <c r="D1062" s="1" t="str">
        <f>"千瓦时"</f>
        <v>千瓦时</v>
      </c>
      <c r="E1062" s="1" t="str">
        <f t="shared" ref="E1062:E1065" si="329">"治疗费"</f>
        <v>治疗费</v>
      </c>
    </row>
    <row r="1063" spans="1:5">
      <c r="A1063" s="1" t="str">
        <f>"烧伤浸浴扩创术(中)"</f>
        <v>烧伤浸浴扩创术(中)</v>
      </c>
      <c r="B1063" s="1">
        <v>195</v>
      </c>
      <c r="C1063" s="1" t="str">
        <f>"次"</f>
        <v>次</v>
      </c>
      <c r="D1063" s="1" t="str">
        <f>"次"</f>
        <v>次</v>
      </c>
      <c r="E1063" s="1" t="str">
        <f t="shared" si="329"/>
        <v>治疗费</v>
      </c>
    </row>
    <row r="1064" spans="1:5">
      <c r="A1064" s="1" t="str">
        <f>"气垫床加收"</f>
        <v>气垫床加收</v>
      </c>
      <c r="B1064" s="1">
        <v>5</v>
      </c>
      <c r="C1064" s="1" t="str">
        <f>"天"</f>
        <v>天</v>
      </c>
      <c r="D1064" s="1" t="str">
        <f>"天"</f>
        <v>天</v>
      </c>
      <c r="E1064" s="1" t="str">
        <f t="shared" si="329"/>
        <v>治疗费</v>
      </c>
    </row>
    <row r="1065" spans="1:5">
      <c r="A1065" s="1" t="str">
        <f>"烧伤换药"</f>
        <v>烧伤换药</v>
      </c>
      <c r="B1065" s="1">
        <v>28</v>
      </c>
      <c r="C1065" s="1" t="str">
        <f>"1%体表面"</f>
        <v>1%体表面</v>
      </c>
      <c r="D1065" s="1" t="str">
        <f>"1%体表面"</f>
        <v>1%体表面</v>
      </c>
      <c r="E1065" s="1" t="str">
        <f t="shared" si="329"/>
        <v>治疗费</v>
      </c>
    </row>
    <row r="1066" spans="1:5">
      <c r="A1066" s="1" t="str">
        <f>"皮下组织穿刺术"</f>
        <v>皮下组织穿刺术</v>
      </c>
      <c r="B1066" s="1">
        <v>142</v>
      </c>
      <c r="C1066" s="1" t="str">
        <f t="shared" ref="C1066:C1071" si="330">"次"</f>
        <v>次</v>
      </c>
      <c r="D1066" s="1" t="str">
        <f t="shared" ref="D1066:D1071" si="331">"次"</f>
        <v>次</v>
      </c>
      <c r="E1066" s="1" t="str">
        <f t="shared" ref="E1066:E1068" si="332">"治疗费"</f>
        <v>治疗费</v>
      </c>
    </row>
    <row r="1067" spans="1:5">
      <c r="A1067" s="1" t="str">
        <f>"窄谱紫外线治疗"</f>
        <v>窄谱紫外线治疗</v>
      </c>
      <c r="B1067" s="1">
        <v>87</v>
      </c>
      <c r="C1067" s="1" t="str">
        <f t="shared" si="330"/>
        <v>次</v>
      </c>
      <c r="D1067" s="1" t="str">
        <f t="shared" si="331"/>
        <v>次</v>
      </c>
      <c r="E1067" s="1" t="str">
        <f t="shared" si="332"/>
        <v>治疗费</v>
      </c>
    </row>
    <row r="1068" spans="1:5">
      <c r="A1068" s="1" t="str">
        <f>"瘢痕注射治疗"</f>
        <v>瘢痕注射治疗</v>
      </c>
      <c r="B1068" s="1">
        <v>22</v>
      </c>
      <c r="C1068" s="1" t="str">
        <f>"项"</f>
        <v>项</v>
      </c>
      <c r="D1068" s="1" t="str">
        <f>"ml"</f>
        <v>ml</v>
      </c>
      <c r="E1068" s="1" t="str">
        <f t="shared" si="332"/>
        <v>治疗费</v>
      </c>
    </row>
    <row r="1069" spans="1:5">
      <c r="A1069" s="1" t="str">
        <f>"精神科A类量表测查(丹佛小儿智能发育筛查表)"</f>
        <v>精神科A类量表测查(丹佛小儿智能发育筛查表)</v>
      </c>
      <c r="B1069" s="1">
        <v>45</v>
      </c>
      <c r="C1069" s="1" t="str">
        <f>"-"</f>
        <v>-</v>
      </c>
      <c r="D1069" s="1" t="str">
        <f t="shared" si="331"/>
        <v>次</v>
      </c>
      <c r="E1069" s="1" t="str">
        <f t="shared" ref="E1069:E1072" si="333">"检查费"</f>
        <v>检查费</v>
      </c>
    </row>
    <row r="1070" spans="1:5">
      <c r="A1070" s="1" t="str">
        <f>"9条目患者健康问卷（PHQ-9）"</f>
        <v>9条目患者健康问卷（PHQ-9）</v>
      </c>
      <c r="B1070" s="1">
        <v>45</v>
      </c>
      <c r="C1070" s="1" t="str">
        <f t="shared" si="330"/>
        <v>次</v>
      </c>
      <c r="D1070" s="1" t="str">
        <f t="shared" si="331"/>
        <v>次</v>
      </c>
      <c r="E1070" s="1" t="str">
        <f t="shared" si="333"/>
        <v>检查费</v>
      </c>
    </row>
    <row r="1071" spans="1:5">
      <c r="A1071" s="1" t="str">
        <f>"精神科A类量表测查(儿童孤独行为检查量表)"</f>
        <v>精神科A类量表测查(儿童孤独行为检查量表)</v>
      </c>
      <c r="B1071" s="1">
        <v>39</v>
      </c>
      <c r="C1071" s="1" t="str">
        <f t="shared" si="330"/>
        <v>次</v>
      </c>
      <c r="D1071" s="1" t="str">
        <f t="shared" si="331"/>
        <v>次</v>
      </c>
      <c r="E1071" s="1" t="str">
        <f t="shared" si="333"/>
        <v>检查费</v>
      </c>
    </row>
    <row r="1072" spans="1:5">
      <c r="A1072" s="1" t="str">
        <f>"爱丁堡评分"</f>
        <v>爱丁堡评分</v>
      </c>
      <c r="B1072" s="1">
        <v>39</v>
      </c>
      <c r="C1072" s="1" t="str">
        <f t="shared" ref="C1072:C1077" si="334">"项"</f>
        <v>项</v>
      </c>
      <c r="D1072" s="1" t="str">
        <f t="shared" ref="D1072:D1077" si="335">"项"</f>
        <v>项</v>
      </c>
      <c r="E1072" s="1" t="str">
        <f t="shared" si="333"/>
        <v>检查费</v>
      </c>
    </row>
    <row r="1073" spans="1:5">
      <c r="A1073" s="1" t="str">
        <f>"日常生活能力评定量表"</f>
        <v>日常生活能力评定量表</v>
      </c>
      <c r="B1073" s="1">
        <v>39</v>
      </c>
      <c r="C1073" s="1" t="str">
        <f t="shared" ref="C1073:C1087" si="336">"次"</f>
        <v>次</v>
      </c>
      <c r="D1073" s="1" t="str">
        <f t="shared" ref="D1073:D1087" si="337">"次"</f>
        <v>次</v>
      </c>
      <c r="E1073" s="1" t="str">
        <f>"治疗费"</f>
        <v>治疗费</v>
      </c>
    </row>
    <row r="1074" spans="1:5">
      <c r="A1074" s="1" t="str">
        <f>"A类量表测查"</f>
        <v>A类量表测查</v>
      </c>
      <c r="B1074" s="1">
        <v>45</v>
      </c>
      <c r="C1074" s="1" t="str">
        <f t="shared" si="336"/>
        <v>次</v>
      </c>
      <c r="D1074" s="1" t="str">
        <f t="shared" si="337"/>
        <v>次</v>
      </c>
      <c r="E1074" s="1" t="str">
        <f t="shared" ref="E1074:E1080" si="338">"检查费"</f>
        <v>检查费</v>
      </c>
    </row>
    <row r="1075" spans="1:5">
      <c r="A1075" s="1" t="str">
        <f>"简明心理状况测验(MMSE)"</f>
        <v>简明心理状况测验(MMSE)</v>
      </c>
      <c r="B1075" s="1">
        <v>39</v>
      </c>
      <c r="C1075" s="1" t="str">
        <f t="shared" si="334"/>
        <v>项</v>
      </c>
      <c r="D1075" s="1" t="str">
        <f t="shared" si="335"/>
        <v>项</v>
      </c>
      <c r="E1075" s="1" t="str">
        <f t="shared" ref="E1075:E1077" si="339">"治疗费(含材料费)"</f>
        <v>治疗费(含材料费)</v>
      </c>
    </row>
    <row r="1076" spans="1:5">
      <c r="A1076" s="1" t="str">
        <f>"宗(Zung)氏焦虑自评量表"</f>
        <v>宗(Zung)氏焦虑自评量表</v>
      </c>
      <c r="B1076" s="1">
        <v>39</v>
      </c>
      <c r="C1076" s="1" t="str">
        <f t="shared" si="334"/>
        <v>项</v>
      </c>
      <c r="D1076" s="1" t="str">
        <f t="shared" si="335"/>
        <v>项</v>
      </c>
      <c r="E1076" s="1" t="str">
        <f t="shared" si="339"/>
        <v>治疗费(含材料费)</v>
      </c>
    </row>
    <row r="1077" spans="1:5">
      <c r="A1077" s="1" t="str">
        <f>"宗(Zung)氏抑郁自评量表"</f>
        <v>宗(Zung)氏抑郁自评量表</v>
      </c>
      <c r="B1077" s="1">
        <v>39</v>
      </c>
      <c r="C1077" s="1" t="str">
        <f t="shared" si="334"/>
        <v>项</v>
      </c>
      <c r="D1077" s="1" t="str">
        <f t="shared" si="335"/>
        <v>项</v>
      </c>
      <c r="E1077" s="1" t="str">
        <f t="shared" si="339"/>
        <v>治疗费(含材料费)</v>
      </c>
    </row>
    <row r="1078" spans="1:5">
      <c r="A1078" s="1" t="str">
        <f>"精神科B类量表测查"</f>
        <v>精神科B类量表测查</v>
      </c>
      <c r="B1078" s="1">
        <v>57</v>
      </c>
      <c r="C1078" s="1" t="str">
        <f t="shared" si="336"/>
        <v>次</v>
      </c>
      <c r="D1078" s="1" t="str">
        <f t="shared" si="337"/>
        <v>次</v>
      </c>
      <c r="E1078" s="1" t="str">
        <f t="shared" si="338"/>
        <v>检查费</v>
      </c>
    </row>
    <row r="1079" spans="1:5">
      <c r="A1079" s="1" t="str">
        <f>"儿童发育量表"</f>
        <v>儿童发育量表</v>
      </c>
      <c r="B1079" s="1">
        <v>65</v>
      </c>
      <c r="C1079" s="1" t="str">
        <f t="shared" si="336"/>
        <v>次</v>
      </c>
      <c r="D1079" s="1" t="str">
        <f t="shared" si="337"/>
        <v>次</v>
      </c>
      <c r="E1079" s="1" t="str">
        <f t="shared" si="338"/>
        <v>检查费</v>
      </c>
    </row>
    <row r="1080" spans="1:5">
      <c r="A1080" s="1" t="str">
        <f>"精神科C类量表测查"</f>
        <v>精神科C类量表测查</v>
      </c>
      <c r="B1080" s="1">
        <v>75</v>
      </c>
      <c r="C1080" s="1" t="str">
        <f t="shared" si="336"/>
        <v>次</v>
      </c>
      <c r="D1080" s="1" t="str">
        <f t="shared" si="337"/>
        <v>次</v>
      </c>
      <c r="E1080" s="1" t="str">
        <f t="shared" si="338"/>
        <v>检查费</v>
      </c>
    </row>
    <row r="1081" spans="1:5">
      <c r="A1081" s="1" t="str">
        <f>"首诊精神病检查"</f>
        <v>首诊精神病检查</v>
      </c>
      <c r="B1081" s="1">
        <v>44</v>
      </c>
      <c r="C1081" s="1" t="str">
        <f t="shared" si="336"/>
        <v>次</v>
      </c>
      <c r="D1081" s="1" t="str">
        <f t="shared" si="337"/>
        <v>次</v>
      </c>
      <c r="E1081" s="1" t="str">
        <f t="shared" ref="E1081:E1089" si="340">"治疗费"</f>
        <v>治疗费</v>
      </c>
    </row>
    <row r="1082" spans="1:5">
      <c r="A1082" s="1" t="str">
        <f>"脑功能检查"</f>
        <v>脑功能检查</v>
      </c>
      <c r="B1082" s="1">
        <v>104</v>
      </c>
      <c r="C1082" s="1" t="str">
        <f t="shared" si="336"/>
        <v>次</v>
      </c>
      <c r="D1082" s="1" t="str">
        <f t="shared" si="337"/>
        <v>次</v>
      </c>
      <c r="E1082" s="1" t="str">
        <f>"检查费"</f>
        <v>检查费</v>
      </c>
    </row>
    <row r="1083" spans="1:5">
      <c r="A1083" s="1" t="str">
        <f>"胰岛素低血糖和休克治疗"</f>
        <v>胰岛素低血糖和休克治疗</v>
      </c>
      <c r="B1083" s="1">
        <v>39</v>
      </c>
      <c r="C1083" s="1" t="str">
        <f t="shared" si="336"/>
        <v>次</v>
      </c>
      <c r="D1083" s="1" t="str">
        <f t="shared" si="337"/>
        <v>次</v>
      </c>
      <c r="E1083" s="1" t="str">
        <f t="shared" si="340"/>
        <v>治疗费</v>
      </c>
    </row>
    <row r="1084" spans="1:5">
      <c r="A1084" s="1" t="str">
        <f>"行为观察和治疗"</f>
        <v>行为观察和治疗</v>
      </c>
      <c r="B1084" s="1">
        <v>13</v>
      </c>
      <c r="C1084" s="1" t="str">
        <f t="shared" si="336"/>
        <v>次</v>
      </c>
      <c r="D1084" s="1" t="str">
        <f t="shared" si="337"/>
        <v>次</v>
      </c>
      <c r="E1084" s="1" t="str">
        <f t="shared" si="340"/>
        <v>治疗费</v>
      </c>
    </row>
    <row r="1085" spans="1:5">
      <c r="A1085" s="1" t="str">
        <f>"冲动行为干预治疗"</f>
        <v>冲动行为干预治疗</v>
      </c>
      <c r="B1085" s="1">
        <v>20</v>
      </c>
      <c r="C1085" s="1" t="str">
        <f t="shared" si="336"/>
        <v>次</v>
      </c>
      <c r="D1085" s="1" t="str">
        <f t="shared" si="337"/>
        <v>次</v>
      </c>
      <c r="E1085" s="1" t="str">
        <f t="shared" si="340"/>
        <v>治疗费</v>
      </c>
    </row>
    <row r="1086" spans="1:5">
      <c r="A1086" s="1" t="str">
        <f>"经颅磁刺激治疗"</f>
        <v>经颅磁刺激治疗</v>
      </c>
      <c r="B1086" s="1">
        <v>130</v>
      </c>
      <c r="C1086" s="1" t="str">
        <f t="shared" si="336"/>
        <v>次</v>
      </c>
      <c r="D1086" s="1" t="str">
        <f t="shared" si="337"/>
        <v>次</v>
      </c>
      <c r="E1086" s="1" t="str">
        <f t="shared" si="340"/>
        <v>治疗费</v>
      </c>
    </row>
    <row r="1087" spans="1:5">
      <c r="A1087" s="1" t="str">
        <f>"脑电治疗(A620)"</f>
        <v>脑电治疗(A620)</v>
      </c>
      <c r="B1087" s="1">
        <v>26</v>
      </c>
      <c r="C1087" s="1" t="str">
        <f t="shared" si="336"/>
        <v>次</v>
      </c>
      <c r="D1087" s="1" t="str">
        <f t="shared" si="337"/>
        <v>次</v>
      </c>
      <c r="E1087" s="1" t="str">
        <f t="shared" si="340"/>
        <v>治疗费</v>
      </c>
    </row>
    <row r="1088" spans="1:5">
      <c r="A1088" s="1" t="str">
        <f>"暗示治疗"</f>
        <v>暗示治疗</v>
      </c>
      <c r="B1088" s="1">
        <v>26</v>
      </c>
      <c r="C1088" s="1" t="str">
        <f t="shared" ref="C1088:C1090" si="341">"项"</f>
        <v>项</v>
      </c>
      <c r="D1088" s="1" t="str">
        <f t="shared" ref="D1088:D1090" si="342">"项"</f>
        <v>项</v>
      </c>
      <c r="E1088" s="1" t="str">
        <f t="shared" si="340"/>
        <v>治疗费</v>
      </c>
    </row>
    <row r="1089" spans="1:5">
      <c r="A1089" s="1" t="str">
        <f>"松驰治疗"</f>
        <v>松驰治疗</v>
      </c>
      <c r="B1089" s="1">
        <v>13</v>
      </c>
      <c r="C1089" s="1" t="str">
        <f t="shared" si="341"/>
        <v>项</v>
      </c>
      <c r="D1089" s="1" t="str">
        <f t="shared" si="342"/>
        <v>项</v>
      </c>
      <c r="E1089" s="1" t="str">
        <f t="shared" si="340"/>
        <v>治疗费</v>
      </c>
    </row>
    <row r="1090" spans="1:5">
      <c r="A1090" s="1" t="str">
        <f>"心理咨询"</f>
        <v>心理咨询</v>
      </c>
      <c r="B1090" s="1">
        <v>25</v>
      </c>
      <c r="C1090" s="1" t="str">
        <f t="shared" si="341"/>
        <v>项</v>
      </c>
      <c r="D1090" s="1" t="str">
        <f t="shared" si="342"/>
        <v>项</v>
      </c>
      <c r="E1090" s="1" t="str">
        <f>"诊查费"</f>
        <v>诊查费</v>
      </c>
    </row>
    <row r="1091" spans="1:5">
      <c r="A1091" s="1" t="str">
        <f>"行为矫正治疗"</f>
        <v>行为矫正治疗</v>
      </c>
      <c r="B1091" s="1">
        <v>26</v>
      </c>
      <c r="C1091" s="1" t="str">
        <f>"日"</f>
        <v>日</v>
      </c>
      <c r="D1091" s="1" t="str">
        <f>"日"</f>
        <v>日</v>
      </c>
      <c r="E1091" s="1" t="str">
        <f>"治疗费"</f>
        <v>治疗费</v>
      </c>
    </row>
    <row r="1092" spans="1:5">
      <c r="A1092" s="1" t="str">
        <f>"局部浸润麻醉"</f>
        <v>局部浸润麻醉</v>
      </c>
      <c r="B1092" s="1">
        <v>18</v>
      </c>
      <c r="C1092" s="1" t="str">
        <f t="shared" ref="C1092:C1098" si="343">"次"</f>
        <v>次</v>
      </c>
      <c r="D1092" s="1" t="str">
        <f t="shared" ref="D1092:D1097" si="344">"次"</f>
        <v>次</v>
      </c>
      <c r="E1092" s="1" t="str">
        <f>"麻醉费"</f>
        <v>麻醉费</v>
      </c>
    </row>
    <row r="1093" spans="1:5">
      <c r="A1093" s="1" t="str">
        <f>"神经阻滞麻醉"</f>
        <v>神经阻滞麻醉</v>
      </c>
      <c r="B1093" s="1">
        <v>124</v>
      </c>
      <c r="C1093" s="1" t="str">
        <f t="shared" si="343"/>
        <v>次</v>
      </c>
      <c r="D1093" s="1" t="str">
        <f t="shared" si="344"/>
        <v>次</v>
      </c>
      <c r="E1093" s="1" t="str">
        <f>"麻醉费"</f>
        <v>麻醉费</v>
      </c>
    </row>
    <row r="1094" spans="1:5">
      <c r="A1094" s="1" t="str">
        <f>"神经阻滞（星状）"</f>
        <v>神经阻滞（星状）</v>
      </c>
      <c r="B1094" s="1">
        <v>89</v>
      </c>
      <c r="C1094" s="1" t="str">
        <f>"项"</f>
        <v>项</v>
      </c>
      <c r="D1094" s="1" t="str">
        <f>"项"</f>
        <v>项</v>
      </c>
      <c r="E1094" s="1" t="str">
        <f t="shared" ref="E1094:E1097" si="345">"治疗费"</f>
        <v>治疗费</v>
      </c>
    </row>
    <row r="1095" spans="1:5">
      <c r="A1095" s="1" t="str">
        <f>"神经阻滞（颈丛）"</f>
        <v>神经阻滞（颈丛）</v>
      </c>
      <c r="B1095" s="1">
        <v>89</v>
      </c>
      <c r="C1095" s="1" t="str">
        <f>"项"</f>
        <v>项</v>
      </c>
      <c r="D1095" s="1" t="str">
        <f>"项"</f>
        <v>项</v>
      </c>
      <c r="E1095" s="1" t="str">
        <f t="shared" si="345"/>
        <v>治疗费</v>
      </c>
    </row>
    <row r="1096" spans="1:5">
      <c r="A1096" s="1" t="str">
        <f>"神经阻滞（臂丛）"</f>
        <v>神经阻滞（臂丛）</v>
      </c>
      <c r="B1096" s="1">
        <v>80</v>
      </c>
      <c r="C1096" s="1" t="str">
        <f>"项"</f>
        <v>项</v>
      </c>
      <c r="D1096" s="1" t="str">
        <f>"项"</f>
        <v>项</v>
      </c>
      <c r="E1096" s="1" t="str">
        <f t="shared" si="345"/>
        <v>治疗费</v>
      </c>
    </row>
    <row r="1097" spans="1:5">
      <c r="A1097" s="1" t="str">
        <f>"神经阻滞麻醉口腔门诊"</f>
        <v>神经阻滞麻醉口腔门诊</v>
      </c>
      <c r="B1097" s="1">
        <v>36</v>
      </c>
      <c r="C1097" s="1" t="str">
        <f t="shared" si="343"/>
        <v>次</v>
      </c>
      <c r="D1097" s="1" t="str">
        <f t="shared" si="344"/>
        <v>次</v>
      </c>
      <c r="E1097" s="1" t="str">
        <f t="shared" si="345"/>
        <v>治疗费</v>
      </c>
    </row>
    <row r="1098" spans="1:5">
      <c r="A1098" s="1" t="str">
        <f>"椎管内麻醉"</f>
        <v>椎管内麻醉</v>
      </c>
      <c r="B1098" s="1">
        <v>248</v>
      </c>
      <c r="C1098" s="1" t="str">
        <f t="shared" si="343"/>
        <v>次</v>
      </c>
      <c r="D1098" s="1" t="str">
        <f>"2小时"</f>
        <v>2小时</v>
      </c>
      <c r="E1098" s="1" t="str">
        <f>"麻醉费"</f>
        <v>麻醉费</v>
      </c>
    </row>
    <row r="1099" spans="1:5">
      <c r="A1099" s="1" t="str">
        <f>"椎管内麻醉（腰麻硬膜外联合阻滞）"</f>
        <v>椎管内麻醉（腰麻硬膜外联合阻滞）</v>
      </c>
      <c r="B1099" s="1">
        <v>273</v>
      </c>
      <c r="C1099" s="1" t="str">
        <f t="shared" ref="C1099:C1102" si="346">"次"</f>
        <v>次</v>
      </c>
      <c r="D1099" s="1" t="str">
        <f>"2小时"</f>
        <v>2小时</v>
      </c>
      <c r="E1099" s="1" t="str">
        <f t="shared" ref="E1099:E1107" si="347">"麻醉费"</f>
        <v>麻醉费</v>
      </c>
    </row>
    <row r="1100" spans="1:5">
      <c r="A1100" s="1" t="str">
        <f>"椎管内麻醉（硬膜外阻滞）"</f>
        <v>椎管内麻醉（硬膜外阻滞）</v>
      </c>
      <c r="B1100" s="1">
        <v>273</v>
      </c>
      <c r="C1100" s="1" t="str">
        <f t="shared" si="346"/>
        <v>次</v>
      </c>
      <c r="D1100" s="1" t="str">
        <f>"2小时"</f>
        <v>2小时</v>
      </c>
      <c r="E1100" s="1" t="str">
        <f t="shared" si="347"/>
        <v>麻醉费</v>
      </c>
    </row>
    <row r="1101" spans="1:5">
      <c r="A1101" s="1" t="str">
        <f>"椎管内麻醉（腰麻）"</f>
        <v>椎管内麻醉（腰麻）</v>
      </c>
      <c r="B1101" s="1">
        <v>273</v>
      </c>
      <c r="C1101" s="1" t="str">
        <f t="shared" si="346"/>
        <v>次</v>
      </c>
      <c r="D1101" s="1" t="str">
        <f>"2小时"</f>
        <v>2小时</v>
      </c>
      <c r="E1101" s="1" t="str">
        <f t="shared" si="347"/>
        <v>麻醉费</v>
      </c>
    </row>
    <row r="1102" spans="1:5">
      <c r="A1102" s="1" t="str">
        <f>"腰麻硬膜外联合阻滞加收"</f>
        <v>腰麻硬膜外联合阻滞加收</v>
      </c>
      <c r="B1102" s="1">
        <v>60</v>
      </c>
      <c r="C1102" s="1" t="str">
        <f t="shared" si="346"/>
        <v>次</v>
      </c>
      <c r="D1102" s="1" t="str">
        <f t="shared" ref="D1102:D1106" si="348">"次"</f>
        <v>次</v>
      </c>
      <c r="E1102" s="1" t="str">
        <f t="shared" si="347"/>
        <v>麻醉费</v>
      </c>
    </row>
    <row r="1103" spans="1:5">
      <c r="A1103" s="1" t="str">
        <f>"椎管内麻醉加收"</f>
        <v>椎管内麻醉加收</v>
      </c>
      <c r="B1103" s="1">
        <v>100</v>
      </c>
      <c r="C1103" s="1" t="str">
        <f>"小时"</f>
        <v>小时</v>
      </c>
      <c r="D1103" s="1" t="str">
        <f>"小时"</f>
        <v>小时</v>
      </c>
      <c r="E1103" s="1" t="str">
        <f t="shared" si="347"/>
        <v>麻醉费</v>
      </c>
    </row>
    <row r="1104" spans="1:5">
      <c r="A1104" s="1" t="str">
        <f>"基础麻醉"</f>
        <v>基础麻醉</v>
      </c>
      <c r="B1104" s="1">
        <v>89</v>
      </c>
      <c r="C1104" s="1" t="str">
        <f t="shared" ref="C1104:C1108" si="349">"次"</f>
        <v>次</v>
      </c>
      <c r="D1104" s="1" t="str">
        <f t="shared" si="348"/>
        <v>次</v>
      </c>
      <c r="E1104" s="1" t="str">
        <f t="shared" si="347"/>
        <v>麻醉费</v>
      </c>
    </row>
    <row r="1105" spans="1:5">
      <c r="A1105" s="1" t="str">
        <f>"全身麻醉"</f>
        <v>全身麻醉</v>
      </c>
      <c r="B1105" s="1">
        <v>378</v>
      </c>
      <c r="C1105" s="1" t="str">
        <f t="shared" si="349"/>
        <v>次</v>
      </c>
      <c r="D1105" s="1" t="str">
        <f>"2小时"</f>
        <v>2小时</v>
      </c>
      <c r="E1105" s="1" t="str">
        <f t="shared" si="347"/>
        <v>麻醉费</v>
      </c>
    </row>
    <row r="1106" spans="1:5">
      <c r="A1106" s="1" t="str">
        <f>"不插管全身麻醉（无痛检查）"</f>
        <v>不插管全身麻醉（无痛检查）</v>
      </c>
      <c r="B1106" s="1">
        <v>268</v>
      </c>
      <c r="C1106" s="1" t="str">
        <f t="shared" si="349"/>
        <v>次</v>
      </c>
      <c r="D1106" s="1" t="str">
        <f t="shared" si="348"/>
        <v>次</v>
      </c>
      <c r="E1106" s="1" t="str">
        <f t="shared" si="347"/>
        <v>麻醉费</v>
      </c>
    </row>
    <row r="1107" spans="1:5">
      <c r="A1107" s="1" t="str">
        <f>"支气管麻醉"</f>
        <v>支气管麻醉</v>
      </c>
      <c r="B1107" s="1">
        <v>297</v>
      </c>
      <c r="C1107" s="1" t="str">
        <f t="shared" si="349"/>
        <v>次</v>
      </c>
      <c r="D1107" s="1" t="str">
        <f>"2小时"</f>
        <v>2小时</v>
      </c>
      <c r="E1107" s="1" t="str">
        <f t="shared" si="347"/>
        <v>麻醉费</v>
      </c>
    </row>
    <row r="1108" spans="1:5">
      <c r="A1108" s="1" t="str">
        <f>"术后镇痛腰麻硬膜外联合阻滞加收"</f>
        <v>术后镇痛腰麻硬膜外联合阻滞加收</v>
      </c>
      <c r="B1108" s="1">
        <v>48</v>
      </c>
      <c r="C1108" s="1" t="str">
        <f t="shared" si="349"/>
        <v>次</v>
      </c>
      <c r="D1108" s="1" t="str">
        <f t="shared" ref="D1108:D1119" si="350">"次"</f>
        <v>次</v>
      </c>
      <c r="E1108" s="1" t="str">
        <f t="shared" ref="E1108:E1119" si="351">"手术费"</f>
        <v>手术费</v>
      </c>
    </row>
    <row r="1109" spans="1:5">
      <c r="A1109" s="1" t="str">
        <f>"硬膜外连续镇痛"</f>
        <v>硬膜外连续镇痛</v>
      </c>
      <c r="B1109" s="1">
        <v>60</v>
      </c>
      <c r="C1109" s="1" t="str">
        <f>"天"</f>
        <v>天</v>
      </c>
      <c r="D1109" s="1" t="str">
        <f>"天"</f>
        <v>天</v>
      </c>
      <c r="E1109" s="1" t="str">
        <f t="shared" si="351"/>
        <v>手术费</v>
      </c>
    </row>
    <row r="1110" spans="1:5">
      <c r="A1110" s="1" t="str">
        <f>"气管插管术"</f>
        <v>气管插管术</v>
      </c>
      <c r="B1110" s="1">
        <v>60</v>
      </c>
      <c r="C1110" s="1" t="str">
        <f t="shared" ref="C1110:C1119" si="352">"次"</f>
        <v>次</v>
      </c>
      <c r="D1110" s="1" t="str">
        <f t="shared" si="350"/>
        <v>次</v>
      </c>
      <c r="E1110" s="1" t="str">
        <f>"手术治疗费"</f>
        <v>手术治疗费</v>
      </c>
    </row>
    <row r="1111" spans="1:5">
      <c r="A1111" s="1" t="str">
        <f>"麻醉中监测"</f>
        <v>麻醉中监测</v>
      </c>
      <c r="B1111" s="1">
        <v>60</v>
      </c>
      <c r="C1111" s="1" t="str">
        <f>"小时"</f>
        <v>小时</v>
      </c>
      <c r="D1111" s="1" t="str">
        <f>"小时"</f>
        <v>小时</v>
      </c>
      <c r="E1111" s="1" t="str">
        <f>"麻醉费"</f>
        <v>麻醉费</v>
      </c>
    </row>
    <row r="1112" spans="1:5">
      <c r="A1112" s="1" t="str">
        <f>"控制性降压"</f>
        <v>控制性降压</v>
      </c>
      <c r="B1112" s="1">
        <v>60</v>
      </c>
      <c r="C1112" s="1" t="str">
        <f t="shared" si="352"/>
        <v>次</v>
      </c>
      <c r="D1112" s="1" t="str">
        <f t="shared" si="350"/>
        <v>次</v>
      </c>
      <c r="E1112" s="1" t="str">
        <f t="shared" si="351"/>
        <v>手术费</v>
      </c>
    </row>
    <row r="1113" spans="1:5">
      <c r="A1113" s="1" t="str">
        <f>"头皮肿物切除术"</f>
        <v>头皮肿物切除术</v>
      </c>
      <c r="B1113" s="1">
        <v>108</v>
      </c>
      <c r="C1113" s="1" t="str">
        <f t="shared" si="352"/>
        <v>次</v>
      </c>
      <c r="D1113" s="1" t="str">
        <f t="shared" si="350"/>
        <v>次</v>
      </c>
      <c r="E1113" s="1" t="str">
        <f t="shared" si="351"/>
        <v>手术费</v>
      </c>
    </row>
    <row r="1114" spans="1:5">
      <c r="A1114" s="1" t="str">
        <f>"眼睑肿物切除术"</f>
        <v>眼睑肿物切除术</v>
      </c>
      <c r="B1114" s="1">
        <v>130</v>
      </c>
      <c r="C1114" s="1" t="str">
        <f t="shared" si="352"/>
        <v>次</v>
      </c>
      <c r="D1114" s="1" t="str">
        <f t="shared" si="350"/>
        <v>次</v>
      </c>
      <c r="E1114" s="1" t="str">
        <f t="shared" si="351"/>
        <v>手术费</v>
      </c>
    </row>
    <row r="1115" spans="1:5">
      <c r="A1115" s="1" t="str">
        <f>"眼睑睫膜裂伤缝合术"</f>
        <v>眼睑睫膜裂伤缝合术</v>
      </c>
      <c r="B1115" s="1">
        <v>130</v>
      </c>
      <c r="C1115" s="1" t="str">
        <f t="shared" si="352"/>
        <v>次</v>
      </c>
      <c r="D1115" s="1" t="str">
        <f t="shared" si="350"/>
        <v>次</v>
      </c>
      <c r="E1115" s="1" t="str">
        <f t="shared" si="351"/>
        <v>手术费</v>
      </c>
    </row>
    <row r="1116" spans="1:5">
      <c r="A1116" s="1" t="str">
        <f>"内眦韧带断裂修复术"</f>
        <v>内眦韧带断裂修复术</v>
      </c>
      <c r="B1116" s="1">
        <v>108</v>
      </c>
      <c r="C1116" s="1" t="str">
        <f t="shared" si="352"/>
        <v>次</v>
      </c>
      <c r="D1116" s="1" t="str">
        <f t="shared" si="350"/>
        <v>次</v>
      </c>
      <c r="E1116" s="1" t="str">
        <f t="shared" si="351"/>
        <v>手术费</v>
      </c>
    </row>
    <row r="1117" spans="1:5">
      <c r="A1117" s="1" t="str">
        <f>"睑裂缝合术"</f>
        <v>睑裂缝合术</v>
      </c>
      <c r="B1117" s="1">
        <v>141</v>
      </c>
      <c r="C1117" s="1" t="str">
        <f t="shared" si="352"/>
        <v>次</v>
      </c>
      <c r="D1117" s="1" t="str">
        <f t="shared" si="350"/>
        <v>次</v>
      </c>
      <c r="E1117" s="1" t="str">
        <f t="shared" si="351"/>
        <v>手术费</v>
      </c>
    </row>
    <row r="1118" spans="1:5">
      <c r="A1118" s="1" t="str">
        <f>"泪小点封闭术"</f>
        <v>泪小点封闭术</v>
      </c>
      <c r="B1118" s="1">
        <v>108</v>
      </c>
      <c r="C1118" s="1" t="str">
        <f t="shared" si="352"/>
        <v>次</v>
      </c>
      <c r="D1118" s="1" t="str">
        <f t="shared" si="350"/>
        <v>次</v>
      </c>
      <c r="E1118" s="1" t="str">
        <f t="shared" si="351"/>
        <v>手术费</v>
      </c>
    </row>
    <row r="1119" spans="1:5">
      <c r="A1119" s="1" t="str">
        <f>"睑球粘连分离术"</f>
        <v>睑球粘连分离术</v>
      </c>
      <c r="B1119" s="1">
        <v>284</v>
      </c>
      <c r="C1119" s="1" t="str">
        <f t="shared" si="352"/>
        <v>次</v>
      </c>
      <c r="D1119" s="1" t="str">
        <f t="shared" si="350"/>
        <v>次</v>
      </c>
      <c r="E1119" s="1" t="str">
        <f t="shared" si="351"/>
        <v>手术费</v>
      </c>
    </row>
    <row r="1120" spans="1:5">
      <c r="A1120" s="1" t="str">
        <f>"结膜肿物切除术"</f>
        <v>结膜肿物切除术</v>
      </c>
      <c r="B1120" s="1">
        <v>189</v>
      </c>
      <c r="C1120" s="1">
        <v>1</v>
      </c>
      <c r="D1120" s="1" t="str">
        <f>"每次"</f>
        <v>每次</v>
      </c>
      <c r="E1120" s="1" t="str">
        <f>"手术治疗费"</f>
        <v>手术治疗费</v>
      </c>
    </row>
    <row r="1121" spans="1:5">
      <c r="A1121" s="1" t="str">
        <f>"麦粒肿切除术"</f>
        <v>麦粒肿切除术</v>
      </c>
      <c r="B1121" s="1">
        <v>65</v>
      </c>
      <c r="C1121" s="1" t="str">
        <f t="shared" ref="C1121:C1124" si="353">"次"</f>
        <v>次</v>
      </c>
      <c r="D1121" s="1" t="str">
        <f t="shared" ref="D1121:D1124" si="354">"次"</f>
        <v>次</v>
      </c>
      <c r="E1121" s="1" t="str">
        <f t="shared" ref="E1121:E1124" si="355">"手术费"</f>
        <v>手术费</v>
      </c>
    </row>
    <row r="1122" spans="1:5">
      <c r="A1122" s="1" t="str">
        <f>"角膜拆线"</f>
        <v>角膜拆线</v>
      </c>
      <c r="B1122" s="1">
        <v>54</v>
      </c>
      <c r="C1122" s="1" t="str">
        <f t="shared" si="353"/>
        <v>次</v>
      </c>
      <c r="D1122" s="1" t="str">
        <f t="shared" si="354"/>
        <v>次</v>
      </c>
      <c r="E1122" s="1" t="str">
        <f t="shared" si="355"/>
        <v>手术费</v>
      </c>
    </row>
    <row r="1123" spans="1:5">
      <c r="A1123" s="1" t="str">
        <f>"角膜深层异物取出术"</f>
        <v>角膜深层异物取出术</v>
      </c>
      <c r="B1123" s="1">
        <v>141</v>
      </c>
      <c r="C1123" s="1" t="str">
        <f t="shared" si="353"/>
        <v>次</v>
      </c>
      <c r="D1123" s="1" t="str">
        <f t="shared" si="354"/>
        <v>次</v>
      </c>
      <c r="E1123" s="1" t="str">
        <f t="shared" si="355"/>
        <v>手术费</v>
      </c>
    </row>
    <row r="1124" spans="1:5">
      <c r="A1124" s="1" t="str">
        <f>"翼状胬肉切除术"</f>
        <v>翼状胬肉切除术</v>
      </c>
      <c r="B1124" s="1">
        <v>108</v>
      </c>
      <c r="C1124" s="1" t="str">
        <f t="shared" si="353"/>
        <v>次</v>
      </c>
      <c r="D1124" s="1" t="str">
        <f t="shared" si="354"/>
        <v>次</v>
      </c>
      <c r="E1124" s="1" t="str">
        <f t="shared" si="355"/>
        <v>手术费</v>
      </c>
    </row>
    <row r="1125" spans="1:5">
      <c r="A1125" s="1" t="str">
        <f>"耳廓软骨膜炎清创术"</f>
        <v>耳廓软骨膜炎清创术</v>
      </c>
      <c r="B1125" s="1">
        <v>162</v>
      </c>
      <c r="C1125" s="1" t="str">
        <f t="shared" ref="C1125:C1139" si="356">"次"</f>
        <v>次</v>
      </c>
      <c r="D1125" s="1" t="str">
        <f t="shared" ref="D1125:D1139" si="357">"次"</f>
        <v>次</v>
      </c>
      <c r="E1125" s="1" t="str">
        <f t="shared" ref="E1125:E1138" si="358">"手术费"</f>
        <v>手术费</v>
      </c>
    </row>
    <row r="1126" spans="1:5">
      <c r="A1126" s="1" t="str">
        <f>"耳道异物取出术"</f>
        <v>耳道异物取出术</v>
      </c>
      <c r="B1126" s="1">
        <v>87</v>
      </c>
      <c r="C1126" s="1" t="str">
        <f t="shared" si="356"/>
        <v>次</v>
      </c>
      <c r="D1126" s="1" t="str">
        <f t="shared" si="357"/>
        <v>次</v>
      </c>
      <c r="E1126" s="1" t="str">
        <f t="shared" si="358"/>
        <v>手术费</v>
      </c>
    </row>
    <row r="1127" spans="1:5">
      <c r="A1127" s="1" t="str">
        <f>"耳息肉摘除术"</f>
        <v>耳息肉摘除术</v>
      </c>
      <c r="B1127" s="1">
        <v>216</v>
      </c>
      <c r="C1127" s="1" t="str">
        <f t="shared" si="356"/>
        <v>次</v>
      </c>
      <c r="D1127" s="1" t="str">
        <f t="shared" si="357"/>
        <v>次</v>
      </c>
      <c r="E1127" s="1" t="str">
        <f t="shared" si="358"/>
        <v>手术费</v>
      </c>
    </row>
    <row r="1128" spans="1:5">
      <c r="A1128" s="1" t="str">
        <f>"耳前瘘管感染切开引流术"</f>
        <v>耳前瘘管感染切开引流术</v>
      </c>
      <c r="B1128" s="1">
        <v>216</v>
      </c>
      <c r="C1128" s="1" t="str">
        <f t="shared" si="356"/>
        <v>次</v>
      </c>
      <c r="D1128" s="1" t="str">
        <f t="shared" si="357"/>
        <v>次</v>
      </c>
      <c r="E1128" s="1" t="str">
        <f t="shared" si="358"/>
        <v>手术费</v>
      </c>
    </row>
    <row r="1129" spans="1:5">
      <c r="A1129" s="1" t="str">
        <f>"外耳道良性肿物切除术"</f>
        <v>外耳道良性肿物切除术</v>
      </c>
      <c r="B1129" s="1">
        <v>216</v>
      </c>
      <c r="C1129" s="1" t="str">
        <f t="shared" si="356"/>
        <v>次</v>
      </c>
      <c r="D1129" s="1" t="str">
        <f t="shared" si="357"/>
        <v>次</v>
      </c>
      <c r="E1129" s="1" t="str">
        <f t="shared" si="358"/>
        <v>手术费</v>
      </c>
    </row>
    <row r="1130" spans="1:5">
      <c r="A1130" s="1" t="str">
        <f>"外耳道肿物活检术"</f>
        <v>外耳道肿物活检术</v>
      </c>
      <c r="B1130" s="1">
        <v>97</v>
      </c>
      <c r="C1130" s="1" t="str">
        <f t="shared" si="356"/>
        <v>次</v>
      </c>
      <c r="D1130" s="1" t="str">
        <f t="shared" si="357"/>
        <v>次</v>
      </c>
      <c r="E1130" s="1" t="str">
        <f t="shared" si="358"/>
        <v>手术费</v>
      </c>
    </row>
    <row r="1131" spans="1:5">
      <c r="A1131" s="1" t="str">
        <f>"外耳道疖脓肿切开引流术"</f>
        <v>外耳道疖脓肿切开引流术</v>
      </c>
      <c r="B1131" s="1">
        <v>54</v>
      </c>
      <c r="C1131" s="1" t="str">
        <f t="shared" si="356"/>
        <v>次</v>
      </c>
      <c r="D1131" s="1" t="str">
        <f t="shared" si="357"/>
        <v>次</v>
      </c>
      <c r="E1131" s="1" t="str">
        <f t="shared" si="358"/>
        <v>手术费</v>
      </c>
    </row>
    <row r="1132" spans="1:5">
      <c r="A1132" s="1" t="str">
        <f>"部分断耳再植术"</f>
        <v>部分断耳再植术</v>
      </c>
      <c r="B1132" s="1">
        <v>972</v>
      </c>
      <c r="C1132" s="1" t="str">
        <f t="shared" si="356"/>
        <v>次</v>
      </c>
      <c r="D1132" s="1" t="str">
        <f t="shared" si="357"/>
        <v>次</v>
      </c>
      <c r="E1132" s="1" t="str">
        <f t="shared" si="358"/>
        <v>手术费</v>
      </c>
    </row>
    <row r="1133" spans="1:5">
      <c r="A1133" s="1" t="str">
        <f>"鼻外伤清创缝合术"</f>
        <v>鼻外伤清创缝合术</v>
      </c>
      <c r="B1133" s="1">
        <v>216</v>
      </c>
      <c r="C1133" s="1" t="str">
        <f t="shared" si="356"/>
        <v>次</v>
      </c>
      <c r="D1133" s="1" t="str">
        <f t="shared" si="357"/>
        <v>次</v>
      </c>
      <c r="E1133" s="1" t="str">
        <f t="shared" si="358"/>
        <v>手术费</v>
      </c>
    </row>
    <row r="1134" spans="1:5">
      <c r="A1134" s="1" t="str">
        <f>"鼻骨骨折整复术"</f>
        <v>鼻骨骨折整复术</v>
      </c>
      <c r="B1134" s="1">
        <v>216</v>
      </c>
      <c r="C1134" s="1" t="str">
        <f t="shared" si="356"/>
        <v>次</v>
      </c>
      <c r="D1134" s="1" t="str">
        <f t="shared" si="357"/>
        <v>次</v>
      </c>
      <c r="E1134" s="1" t="str">
        <f t="shared" si="358"/>
        <v>手术费</v>
      </c>
    </row>
    <row r="1135" spans="1:5">
      <c r="A1135" s="1" t="str">
        <f>"鼻部神经封闭术"</f>
        <v>鼻部神经封闭术</v>
      </c>
      <c r="B1135" s="1">
        <v>141</v>
      </c>
      <c r="C1135" s="1" t="str">
        <f t="shared" si="356"/>
        <v>次</v>
      </c>
      <c r="D1135" s="1" t="str">
        <f t="shared" si="357"/>
        <v>次</v>
      </c>
      <c r="E1135" s="1" t="str">
        <f t="shared" si="358"/>
        <v>手术费</v>
      </c>
    </row>
    <row r="1136" spans="1:5">
      <c r="A1136" s="1" t="str">
        <f>"鼻腔异物取出术"</f>
        <v>鼻腔异物取出术</v>
      </c>
      <c r="B1136" s="1">
        <v>54</v>
      </c>
      <c r="C1136" s="1" t="str">
        <f t="shared" si="356"/>
        <v>次</v>
      </c>
      <c r="D1136" s="1" t="str">
        <f t="shared" si="357"/>
        <v>次</v>
      </c>
      <c r="E1136" s="1" t="str">
        <f t="shared" si="358"/>
        <v>手术费</v>
      </c>
    </row>
    <row r="1137" spans="1:5">
      <c r="A1137" s="1" t="str">
        <f>"下鼻甲部分切除术"</f>
        <v>下鼻甲部分切除术</v>
      </c>
      <c r="B1137" s="1">
        <v>270</v>
      </c>
      <c r="C1137" s="1" t="str">
        <f t="shared" si="356"/>
        <v>次</v>
      </c>
      <c r="D1137" s="1" t="str">
        <f t="shared" si="357"/>
        <v>次</v>
      </c>
      <c r="E1137" s="1" t="str">
        <f t="shared" si="358"/>
        <v>手术费</v>
      </c>
    </row>
    <row r="1138" spans="1:5">
      <c r="A1138" s="1" t="str">
        <f>"中鼻甲部分切除术"</f>
        <v>中鼻甲部分切除术</v>
      </c>
      <c r="B1138" s="1">
        <v>270</v>
      </c>
      <c r="C1138" s="1" t="str">
        <f t="shared" si="356"/>
        <v>次</v>
      </c>
      <c r="D1138" s="1" t="str">
        <f t="shared" si="357"/>
        <v>次</v>
      </c>
      <c r="E1138" s="1" t="str">
        <f t="shared" si="358"/>
        <v>手术费</v>
      </c>
    </row>
    <row r="1139" spans="1:5">
      <c r="A1139" s="1" t="str">
        <f>"鼻息肉摘除术"</f>
        <v>鼻息肉摘除术</v>
      </c>
      <c r="B1139" s="1">
        <v>324</v>
      </c>
      <c r="C1139" s="1" t="str">
        <f t="shared" si="356"/>
        <v>次</v>
      </c>
      <c r="D1139" s="1" t="str">
        <f t="shared" si="357"/>
        <v>次</v>
      </c>
      <c r="E1139" s="1" t="str">
        <f>"治疗费"</f>
        <v>治疗费</v>
      </c>
    </row>
    <row r="1140" spans="1:5">
      <c r="A1140" s="1" t="str">
        <f>"乳牙拔除术"</f>
        <v>乳牙拔除术</v>
      </c>
      <c r="B1140" s="1">
        <v>7.7</v>
      </c>
      <c r="C1140" s="1" t="str">
        <f t="shared" ref="C1140:C1143" si="359">"每牙"</f>
        <v>每牙</v>
      </c>
      <c r="D1140" s="1" t="str">
        <f t="shared" ref="D1140:D1143" si="360">"每牙"</f>
        <v>每牙</v>
      </c>
      <c r="E1140" s="1" t="str">
        <f t="shared" ref="E1140:E1149" si="361">"手术费"</f>
        <v>手术费</v>
      </c>
    </row>
    <row r="1141" spans="1:5">
      <c r="A1141" s="1" t="str">
        <f>"前牙拔除术"</f>
        <v>前牙拔除术</v>
      </c>
      <c r="B1141" s="1">
        <v>16</v>
      </c>
      <c r="C1141" s="1" t="str">
        <f t="shared" si="359"/>
        <v>每牙</v>
      </c>
      <c r="D1141" s="1" t="str">
        <f t="shared" si="360"/>
        <v>每牙</v>
      </c>
      <c r="E1141" s="1" t="str">
        <f t="shared" si="361"/>
        <v>手术费</v>
      </c>
    </row>
    <row r="1142" spans="1:5">
      <c r="A1142" s="1" t="str">
        <f>"前磨牙拔除术"</f>
        <v>前磨牙拔除术</v>
      </c>
      <c r="B1142" s="1">
        <v>22</v>
      </c>
      <c r="C1142" s="1" t="str">
        <f t="shared" si="359"/>
        <v>每牙</v>
      </c>
      <c r="D1142" s="1" t="str">
        <f t="shared" si="360"/>
        <v>每牙</v>
      </c>
      <c r="E1142" s="1" t="str">
        <f t="shared" si="361"/>
        <v>手术费</v>
      </c>
    </row>
    <row r="1143" spans="1:5">
      <c r="A1143" s="1" t="str">
        <f>"磨牙拔除术"</f>
        <v>磨牙拔除术</v>
      </c>
      <c r="B1143" s="1">
        <v>27</v>
      </c>
      <c r="C1143" s="1" t="str">
        <f t="shared" si="359"/>
        <v>每牙</v>
      </c>
      <c r="D1143" s="1" t="str">
        <f t="shared" si="360"/>
        <v>每牙</v>
      </c>
      <c r="E1143" s="1" t="str">
        <f t="shared" si="361"/>
        <v>手术费</v>
      </c>
    </row>
    <row r="1144" spans="1:5">
      <c r="A1144" s="1" t="str">
        <f>"磨牙区段多生牙拔除术"</f>
        <v>磨牙区段多生牙拔除术</v>
      </c>
      <c r="B1144" s="1">
        <v>27</v>
      </c>
      <c r="C1144" s="1" t="str">
        <f>"项"</f>
        <v>项</v>
      </c>
      <c r="D1144" s="1" t="str">
        <f>"项"</f>
        <v>项</v>
      </c>
      <c r="E1144" s="1" t="str">
        <f t="shared" si="361"/>
        <v>手术费</v>
      </c>
    </row>
    <row r="1145" spans="1:5">
      <c r="A1145" s="1" t="str">
        <f>"复杂牙拔除术"</f>
        <v>复杂牙拔除术</v>
      </c>
      <c r="B1145" s="1">
        <v>43</v>
      </c>
      <c r="C1145" s="1" t="str">
        <f t="shared" ref="C1145:C1147" si="362">"每牙"</f>
        <v>每牙</v>
      </c>
      <c r="D1145" s="1" t="str">
        <f t="shared" ref="D1145:D1147" si="363">"每牙"</f>
        <v>每牙</v>
      </c>
      <c r="E1145" s="1" t="str">
        <f t="shared" si="361"/>
        <v>手术费</v>
      </c>
    </row>
    <row r="1146" spans="1:5">
      <c r="A1146" s="1" t="str">
        <f>"阻生牙拔除术"</f>
        <v>阻生牙拔除术</v>
      </c>
      <c r="B1146" s="1">
        <v>108</v>
      </c>
      <c r="C1146" s="1" t="str">
        <f t="shared" si="362"/>
        <v>每牙</v>
      </c>
      <c r="D1146" s="1" t="str">
        <f t="shared" si="363"/>
        <v>每牙</v>
      </c>
      <c r="E1146" s="1" t="str">
        <f t="shared" si="361"/>
        <v>手术费</v>
      </c>
    </row>
    <row r="1147" spans="1:5">
      <c r="A1147" s="1" t="str">
        <f>"拔牙创面搔刮术"</f>
        <v>拔牙创面搔刮术</v>
      </c>
      <c r="B1147" s="1">
        <v>27</v>
      </c>
      <c r="C1147" s="1" t="str">
        <f t="shared" si="362"/>
        <v>每牙</v>
      </c>
      <c r="D1147" s="1" t="str">
        <f t="shared" si="363"/>
        <v>每牙</v>
      </c>
      <c r="E1147" s="1" t="str">
        <f t="shared" si="361"/>
        <v>手术费</v>
      </c>
    </row>
    <row r="1148" spans="1:5">
      <c r="A1148" s="1" t="str">
        <f>"干槽症拔牙创面搔刮术"</f>
        <v>干槽症拔牙创面搔刮术</v>
      </c>
      <c r="B1148" s="1">
        <v>27</v>
      </c>
      <c r="C1148" s="1" t="str">
        <f>"项"</f>
        <v>项</v>
      </c>
      <c r="D1148" s="1" t="str">
        <f>"项"</f>
        <v>项</v>
      </c>
      <c r="E1148" s="1" t="str">
        <f t="shared" si="361"/>
        <v>手术费</v>
      </c>
    </row>
    <row r="1149" spans="1:5">
      <c r="A1149" s="1" t="str">
        <f>"牙槽骨修整术"</f>
        <v>牙槽骨修整术</v>
      </c>
      <c r="B1149" s="1">
        <v>54</v>
      </c>
      <c r="C1149" s="1" t="str">
        <f t="shared" ref="C1149:C1154" si="364">"每牙"</f>
        <v>每牙</v>
      </c>
      <c r="D1149" s="1" t="str">
        <f t="shared" ref="D1149:D1157" si="365">"每牙"</f>
        <v>每牙</v>
      </c>
      <c r="E1149" s="1" t="str">
        <f t="shared" si="361"/>
        <v>手术费</v>
      </c>
    </row>
    <row r="1150" spans="1:5">
      <c r="A1150" s="1" t="str">
        <f>"阻生智齿龈瓣整形束"</f>
        <v>阻生智齿龈瓣整形束</v>
      </c>
      <c r="B1150" s="1">
        <v>54</v>
      </c>
      <c r="C1150" s="1" t="str">
        <f t="shared" ref="C1150:C1153" si="366">"-"</f>
        <v>-</v>
      </c>
      <c r="D1150" s="1" t="str">
        <f t="shared" si="365"/>
        <v>每牙</v>
      </c>
      <c r="E1150" s="1" t="str">
        <f t="shared" ref="E1150:E1153" si="367">"治疗费"</f>
        <v>治疗费</v>
      </c>
    </row>
    <row r="1151" spans="1:5">
      <c r="A1151" s="1" t="str">
        <f>"根端囊肿摘除术"</f>
        <v>根端囊肿摘除术</v>
      </c>
      <c r="B1151" s="1">
        <v>162</v>
      </c>
      <c r="C1151" s="1" t="str">
        <f t="shared" si="364"/>
        <v>每牙</v>
      </c>
      <c r="D1151" s="1" t="str">
        <f t="shared" si="365"/>
        <v>每牙</v>
      </c>
      <c r="E1151" s="1" t="str">
        <f t="shared" ref="E1151:E1156" si="368">"手术费"</f>
        <v>手术费</v>
      </c>
    </row>
    <row r="1152" spans="1:5">
      <c r="A1152" s="1" t="str">
        <f>"根尖切除术"</f>
        <v>根尖切除术</v>
      </c>
      <c r="B1152" s="1">
        <v>162</v>
      </c>
      <c r="C1152" s="1" t="str">
        <f t="shared" si="366"/>
        <v>-</v>
      </c>
      <c r="D1152" s="1" t="str">
        <f t="shared" si="365"/>
        <v>每牙</v>
      </c>
      <c r="E1152" s="1" t="str">
        <f t="shared" si="367"/>
        <v>治疗费</v>
      </c>
    </row>
    <row r="1153" spans="1:5">
      <c r="A1153" s="1" t="str">
        <f>"根尖搔刮术"</f>
        <v>根尖搔刮术</v>
      </c>
      <c r="B1153" s="1">
        <v>87</v>
      </c>
      <c r="C1153" s="1" t="str">
        <f t="shared" si="366"/>
        <v>-</v>
      </c>
      <c r="D1153" s="1" t="str">
        <f t="shared" si="365"/>
        <v>每牙</v>
      </c>
      <c r="E1153" s="1" t="str">
        <f t="shared" si="367"/>
        <v>治疗费</v>
      </c>
    </row>
    <row r="1154" spans="1:5">
      <c r="A1154" s="1" t="str">
        <f>"牙龈翻瓣术"</f>
        <v>牙龈翻瓣术</v>
      </c>
      <c r="B1154" s="1">
        <v>97</v>
      </c>
      <c r="C1154" s="1" t="str">
        <f t="shared" si="364"/>
        <v>每牙</v>
      </c>
      <c r="D1154" s="1" t="str">
        <f t="shared" si="365"/>
        <v>每牙</v>
      </c>
      <c r="E1154" s="1" t="str">
        <f t="shared" si="368"/>
        <v>手术费</v>
      </c>
    </row>
    <row r="1155" spans="1:5">
      <c r="A1155" s="1" t="str">
        <f>"牙龈切除术"</f>
        <v>牙龈切除术</v>
      </c>
      <c r="B1155" s="1">
        <v>43</v>
      </c>
      <c r="C1155" s="1" t="str">
        <f>"-"</f>
        <v>-</v>
      </c>
      <c r="D1155" s="1" t="str">
        <f t="shared" si="365"/>
        <v>每牙</v>
      </c>
      <c r="E1155" s="1" t="str">
        <f>"治疗费"</f>
        <v>治疗费</v>
      </c>
    </row>
    <row r="1156" spans="1:5">
      <c r="A1156" s="1" t="str">
        <f>"牙冠延长术"</f>
        <v>牙冠延长术</v>
      </c>
      <c r="B1156" s="1">
        <v>87</v>
      </c>
      <c r="C1156" s="1" t="str">
        <f>"每牙"</f>
        <v>每牙</v>
      </c>
      <c r="D1156" s="1" t="str">
        <f t="shared" si="365"/>
        <v>每牙</v>
      </c>
      <c r="E1156" s="1" t="str">
        <f t="shared" si="368"/>
        <v>手术费</v>
      </c>
    </row>
    <row r="1157" spans="1:5">
      <c r="A1157" s="1" t="str">
        <f>"分根术"</f>
        <v>分根术</v>
      </c>
      <c r="B1157" s="1">
        <v>76</v>
      </c>
      <c r="C1157" s="1" t="str">
        <f>"每牙"</f>
        <v>每牙</v>
      </c>
      <c r="D1157" s="1" t="str">
        <f t="shared" si="365"/>
        <v>每牙</v>
      </c>
      <c r="E1157" s="1" t="str">
        <f>"治疗费"</f>
        <v>治疗费</v>
      </c>
    </row>
    <row r="1158" spans="1:5">
      <c r="A1158" s="1" t="str">
        <f>"口腔颌面部小肿物切除术"</f>
        <v>口腔颌面部小肿物切除术</v>
      </c>
      <c r="B1158" s="1">
        <v>54</v>
      </c>
      <c r="C1158" s="1" t="str">
        <f t="shared" ref="C1158:C1163" si="369">"次"</f>
        <v>次</v>
      </c>
      <c r="D1158" s="1" t="str">
        <f t="shared" ref="D1158:D1163" si="370">"次"</f>
        <v>次</v>
      </c>
      <c r="E1158" s="1" t="str">
        <f t="shared" ref="E1158:E1189" si="371">"手术费"</f>
        <v>手术费</v>
      </c>
    </row>
    <row r="1159" spans="1:5">
      <c r="A1159" s="1" t="str">
        <f>"系带成形术"</f>
        <v>系带成形术</v>
      </c>
      <c r="B1159" s="1">
        <v>97</v>
      </c>
      <c r="C1159" s="1" t="str">
        <f>"项"</f>
        <v>项</v>
      </c>
      <c r="D1159" s="1" t="str">
        <f t="shared" si="370"/>
        <v>次</v>
      </c>
      <c r="E1159" s="1" t="str">
        <f t="shared" si="371"/>
        <v>手术费</v>
      </c>
    </row>
    <row r="1160" spans="1:5">
      <c r="A1160" s="1" t="str">
        <f>"唇缺损修复术"</f>
        <v>唇缺损修复术</v>
      </c>
      <c r="B1160" s="1">
        <v>540</v>
      </c>
      <c r="C1160" s="1" t="str">
        <f t="shared" si="369"/>
        <v>次</v>
      </c>
      <c r="D1160" s="1" t="str">
        <f t="shared" si="370"/>
        <v>次</v>
      </c>
      <c r="E1160" s="1" t="str">
        <f t="shared" si="371"/>
        <v>手术费</v>
      </c>
    </row>
    <row r="1161" spans="1:5">
      <c r="A1161" s="1" t="str">
        <f>"口腔颌面软组织清创术(大)"</f>
        <v>口腔颌面软组织清创术(大)</v>
      </c>
      <c r="B1161" s="1">
        <v>432</v>
      </c>
      <c r="C1161" s="1" t="str">
        <f t="shared" si="369"/>
        <v>次</v>
      </c>
      <c r="D1161" s="1" t="str">
        <f t="shared" si="370"/>
        <v>次</v>
      </c>
      <c r="E1161" s="1" t="str">
        <f t="shared" si="371"/>
        <v>手术费</v>
      </c>
    </row>
    <row r="1162" spans="1:5">
      <c r="A1162" s="1" t="str">
        <f>"口腔颌面软组织清创术(中)"</f>
        <v>口腔颌面软组织清创术(中)</v>
      </c>
      <c r="B1162" s="1">
        <v>284</v>
      </c>
      <c r="C1162" s="1" t="str">
        <f t="shared" si="369"/>
        <v>次</v>
      </c>
      <c r="D1162" s="1" t="str">
        <f t="shared" si="370"/>
        <v>次</v>
      </c>
      <c r="E1162" s="1" t="str">
        <f t="shared" si="371"/>
        <v>手术费</v>
      </c>
    </row>
    <row r="1163" spans="1:5">
      <c r="A1163" s="1" t="str">
        <f>"口腔颌面软组织清创术(小)"</f>
        <v>口腔颌面软组织清创术(小)</v>
      </c>
      <c r="B1163" s="1">
        <v>108</v>
      </c>
      <c r="C1163" s="1" t="str">
        <f t="shared" si="369"/>
        <v>次</v>
      </c>
      <c r="D1163" s="1" t="str">
        <f t="shared" si="370"/>
        <v>次</v>
      </c>
      <c r="E1163" s="1" t="str">
        <f t="shared" si="371"/>
        <v>手术费</v>
      </c>
    </row>
    <row r="1164" spans="1:5">
      <c r="A1164" s="1" t="str">
        <f>"颌骨骨折单颌牙弓夹板固定术"</f>
        <v>颌骨骨折单颌牙弓夹板固定术</v>
      </c>
      <c r="B1164" s="1">
        <v>216</v>
      </c>
      <c r="C1164" s="1" t="str">
        <f>"单颌"</f>
        <v>单颌</v>
      </c>
      <c r="D1164" s="1" t="str">
        <f>"单颌"</f>
        <v>单颌</v>
      </c>
      <c r="E1164" s="1" t="str">
        <f t="shared" si="371"/>
        <v>手术费</v>
      </c>
    </row>
    <row r="1165" spans="1:5">
      <c r="A1165" s="1" t="str">
        <f>"单颌牙弓夹板拆除术"</f>
        <v>单颌牙弓夹板拆除术</v>
      </c>
      <c r="B1165" s="1">
        <v>16</v>
      </c>
      <c r="C1165" s="1" t="str">
        <f>"单颌"</f>
        <v>单颌</v>
      </c>
      <c r="D1165" s="1" t="str">
        <f>"单颌"</f>
        <v>单颌</v>
      </c>
      <c r="E1165" s="1" t="str">
        <f t="shared" si="371"/>
        <v>手术费</v>
      </c>
    </row>
    <row r="1166" spans="1:5">
      <c r="A1166" s="1" t="str">
        <f>"扁桃体周围脓肿切开引流术"</f>
        <v>扁桃体周围脓肿切开引流术</v>
      </c>
      <c r="B1166" s="1">
        <v>108</v>
      </c>
      <c r="C1166" s="1" t="str">
        <f t="shared" ref="C1166:C1170" si="372">"次"</f>
        <v>次</v>
      </c>
      <c r="D1166" s="1" t="str">
        <f t="shared" ref="D1166:D1170" si="373">"次"</f>
        <v>次</v>
      </c>
      <c r="E1166" s="1" t="str">
        <f t="shared" si="371"/>
        <v>手术费</v>
      </c>
    </row>
    <row r="1167" spans="1:5">
      <c r="A1167" s="1" t="str">
        <f>"气管切开术"</f>
        <v>气管切开术</v>
      </c>
      <c r="B1167" s="1">
        <v>432</v>
      </c>
      <c r="C1167" s="1" t="str">
        <f t="shared" si="372"/>
        <v>次</v>
      </c>
      <c r="D1167" s="1" t="str">
        <f t="shared" si="373"/>
        <v>次</v>
      </c>
      <c r="E1167" s="1" t="str">
        <f t="shared" si="371"/>
        <v>手术费</v>
      </c>
    </row>
    <row r="1168" spans="1:5">
      <c r="A1168" s="1" t="str">
        <f>"肋（软）骨切除术"</f>
        <v>肋（软）骨切除术</v>
      </c>
      <c r="B1168" s="1">
        <v>756</v>
      </c>
      <c r="C1168" s="1" t="str">
        <f t="shared" si="372"/>
        <v>次</v>
      </c>
      <c r="D1168" s="1" t="str">
        <f>"每次"</f>
        <v>每次</v>
      </c>
      <c r="E1168" s="1" t="str">
        <f t="shared" si="371"/>
        <v>手术费</v>
      </c>
    </row>
    <row r="1169" spans="1:5">
      <c r="A1169" s="1" t="str">
        <f>"胸骨牵引术"</f>
        <v>胸骨牵引术</v>
      </c>
      <c r="B1169" s="1">
        <v>756</v>
      </c>
      <c r="C1169" s="1" t="str">
        <f t="shared" si="372"/>
        <v>次</v>
      </c>
      <c r="D1169" s="1" t="str">
        <f t="shared" si="373"/>
        <v>次</v>
      </c>
      <c r="E1169" s="1" t="str">
        <f t="shared" si="371"/>
        <v>手术费</v>
      </c>
    </row>
    <row r="1170" spans="1:5">
      <c r="A1170" s="1" t="str">
        <f>"胸壁外伤扩创术"</f>
        <v>胸壁外伤扩创术</v>
      </c>
      <c r="B1170" s="1">
        <v>756</v>
      </c>
      <c r="C1170" s="1" t="str">
        <f t="shared" si="372"/>
        <v>次</v>
      </c>
      <c r="D1170" s="1" t="str">
        <f t="shared" si="373"/>
        <v>次</v>
      </c>
      <c r="E1170" s="1" t="str">
        <f t="shared" si="371"/>
        <v>手术费</v>
      </c>
    </row>
    <row r="1171" spans="1:5">
      <c r="A1171" s="1" t="str">
        <f>"大隐静脉高位结扎+剥脱术"</f>
        <v>大隐静脉高位结扎+剥脱术</v>
      </c>
      <c r="B1171" s="1">
        <v>864</v>
      </c>
      <c r="C1171" s="1" t="str">
        <f>"侧"</f>
        <v>侧</v>
      </c>
      <c r="D1171" s="1" t="str">
        <f>"单侧"</f>
        <v>单侧</v>
      </c>
      <c r="E1171" s="1" t="str">
        <f t="shared" si="371"/>
        <v>手术费</v>
      </c>
    </row>
    <row r="1172" spans="1:5">
      <c r="A1172" s="1" t="str">
        <f>"脾部分切除术"</f>
        <v>脾部分切除术</v>
      </c>
      <c r="B1172" s="1">
        <v>756</v>
      </c>
      <c r="C1172" s="1" t="str">
        <f t="shared" ref="C1172:C1179" si="374">"次"</f>
        <v>次</v>
      </c>
      <c r="D1172" s="1" t="str">
        <f t="shared" ref="D1172:D1209" si="375">"次"</f>
        <v>次</v>
      </c>
      <c r="E1172" s="1" t="str">
        <f t="shared" si="371"/>
        <v>手术费</v>
      </c>
    </row>
    <row r="1173" spans="1:5">
      <c r="A1173" s="1" t="str">
        <f>"脾修补术"</f>
        <v>脾修补术</v>
      </c>
      <c r="B1173" s="1">
        <v>756</v>
      </c>
      <c r="C1173" s="1" t="str">
        <f t="shared" si="374"/>
        <v>次</v>
      </c>
      <c r="D1173" s="1" t="str">
        <f t="shared" si="375"/>
        <v>次</v>
      </c>
      <c r="E1173" s="1" t="str">
        <f t="shared" si="371"/>
        <v>手术费</v>
      </c>
    </row>
    <row r="1174" spans="1:5">
      <c r="A1174" s="1" t="str">
        <f>"脾切除术"</f>
        <v>脾切除术</v>
      </c>
      <c r="B1174" s="1">
        <v>1080</v>
      </c>
      <c r="C1174" s="1" t="str">
        <f t="shared" si="374"/>
        <v>次</v>
      </c>
      <c r="D1174" s="1" t="str">
        <f t="shared" si="375"/>
        <v>次</v>
      </c>
      <c r="E1174" s="1" t="str">
        <f t="shared" si="371"/>
        <v>手术费</v>
      </c>
    </row>
    <row r="1175" spans="1:5">
      <c r="A1175" s="1" t="str">
        <f>"胃肠切开取异物"</f>
        <v>胃肠切开取异物</v>
      </c>
      <c r="B1175" s="1">
        <v>756</v>
      </c>
      <c r="C1175" s="1" t="str">
        <f t="shared" si="374"/>
        <v>次</v>
      </c>
      <c r="D1175" s="1" t="str">
        <f t="shared" si="375"/>
        <v>次</v>
      </c>
      <c r="E1175" s="1" t="str">
        <f t="shared" si="371"/>
        <v>手术费</v>
      </c>
    </row>
    <row r="1176" spans="1:5">
      <c r="A1176" s="1" t="str">
        <f>"胃出血切开缝扎止血术"</f>
        <v>胃出血切开缝扎止血术</v>
      </c>
      <c r="B1176" s="1">
        <v>756</v>
      </c>
      <c r="C1176" s="1" t="str">
        <f t="shared" si="374"/>
        <v>次</v>
      </c>
      <c r="D1176" s="1" t="str">
        <f t="shared" si="375"/>
        <v>次</v>
      </c>
      <c r="E1176" s="1" t="str">
        <f t="shared" si="371"/>
        <v>手术费</v>
      </c>
    </row>
    <row r="1177" spans="1:5">
      <c r="A1177" s="1" t="str">
        <f>"近端胃大部切除术"</f>
        <v>近端胃大部切除术</v>
      </c>
      <c r="B1177" s="1">
        <v>1400</v>
      </c>
      <c r="C1177" s="1" t="str">
        <f t="shared" si="374"/>
        <v>次</v>
      </c>
      <c r="D1177" s="1" t="str">
        <f t="shared" si="375"/>
        <v>次</v>
      </c>
      <c r="E1177" s="1" t="str">
        <f t="shared" si="371"/>
        <v>手术费</v>
      </c>
    </row>
    <row r="1178" spans="1:5">
      <c r="A1178" s="1" t="str">
        <f>"全胃切除术"</f>
        <v>全胃切除术</v>
      </c>
      <c r="B1178" s="1">
        <v>1510</v>
      </c>
      <c r="C1178" s="1" t="str">
        <f t="shared" si="374"/>
        <v>次</v>
      </c>
      <c r="D1178" s="1" t="str">
        <f t="shared" si="375"/>
        <v>次</v>
      </c>
      <c r="E1178" s="1" t="str">
        <f t="shared" si="371"/>
        <v>手术费</v>
      </c>
    </row>
    <row r="1179" spans="1:5">
      <c r="A1179" s="1" t="str">
        <f>"胃肠造瘘术"</f>
        <v>胃肠造瘘术</v>
      </c>
      <c r="B1179" s="1">
        <v>540</v>
      </c>
      <c r="C1179" s="1" t="str">
        <f t="shared" si="374"/>
        <v>次</v>
      </c>
      <c r="D1179" s="1" t="str">
        <f t="shared" si="375"/>
        <v>次</v>
      </c>
      <c r="E1179" s="1" t="str">
        <f t="shared" si="371"/>
        <v>手术费</v>
      </c>
    </row>
    <row r="1180" spans="1:5">
      <c r="A1180" s="1" t="str">
        <f>"胃肠穿孔补术"</f>
        <v>胃肠穿孔补术</v>
      </c>
      <c r="B1180" s="1">
        <v>540</v>
      </c>
      <c r="C1180" s="1">
        <v>1</v>
      </c>
      <c r="D1180" s="1" t="str">
        <f t="shared" si="375"/>
        <v>次</v>
      </c>
      <c r="E1180" s="1" t="str">
        <f t="shared" si="371"/>
        <v>手术费</v>
      </c>
    </row>
    <row r="1181" spans="1:5">
      <c r="A1181" s="1" t="str">
        <f>"肠扭转肠套叠复位术"</f>
        <v>肠扭转肠套叠复位术</v>
      </c>
      <c r="B1181" s="1">
        <v>864</v>
      </c>
      <c r="C1181" s="1" t="str">
        <f t="shared" ref="C1181:C1184" si="376">"次"</f>
        <v>次</v>
      </c>
      <c r="D1181" s="1" t="str">
        <f t="shared" si="375"/>
        <v>次</v>
      </c>
      <c r="E1181" s="1" t="str">
        <f t="shared" si="371"/>
        <v>手术费</v>
      </c>
    </row>
    <row r="1182" spans="1:5">
      <c r="A1182" s="1" t="str">
        <f>"肠切除术"</f>
        <v>肠切除术</v>
      </c>
      <c r="B1182" s="1">
        <v>1080</v>
      </c>
      <c r="C1182" s="1" t="str">
        <f t="shared" si="376"/>
        <v>次</v>
      </c>
      <c r="D1182" s="1" t="str">
        <f t="shared" si="375"/>
        <v>次</v>
      </c>
      <c r="E1182" s="1" t="str">
        <f t="shared" si="371"/>
        <v>手术费</v>
      </c>
    </row>
    <row r="1183" spans="1:5">
      <c r="A1183" s="1" t="str">
        <f>"肠粘连松解术"</f>
        <v>肠粘连松解术</v>
      </c>
      <c r="B1183" s="1">
        <v>1080</v>
      </c>
      <c r="C1183" s="1" t="str">
        <f t="shared" si="376"/>
        <v>次</v>
      </c>
      <c r="D1183" s="1" t="str">
        <f t="shared" si="375"/>
        <v>次</v>
      </c>
      <c r="E1183" s="1" t="str">
        <f t="shared" si="371"/>
        <v>手术费</v>
      </c>
    </row>
    <row r="1184" spans="1:5">
      <c r="A1184" s="1" t="str">
        <f>"肠造瘘还纳术"</f>
        <v>肠造瘘还纳术</v>
      </c>
      <c r="B1184" s="1">
        <v>648</v>
      </c>
      <c r="C1184" s="1" t="str">
        <f t="shared" si="376"/>
        <v>次</v>
      </c>
      <c r="D1184" s="1" t="str">
        <f t="shared" si="375"/>
        <v>次</v>
      </c>
      <c r="E1184" s="1" t="str">
        <f t="shared" si="371"/>
        <v>手术费</v>
      </c>
    </row>
    <row r="1185" spans="1:5">
      <c r="A1185" s="1" t="str">
        <f>"结肠造瘘术"</f>
        <v>结肠造瘘术</v>
      </c>
      <c r="B1185" s="1">
        <v>648</v>
      </c>
      <c r="C1185" s="1">
        <v>1</v>
      </c>
      <c r="D1185" s="1" t="str">
        <f t="shared" si="375"/>
        <v>次</v>
      </c>
      <c r="E1185" s="1" t="str">
        <f t="shared" si="371"/>
        <v>手术费</v>
      </c>
    </row>
    <row r="1186" spans="1:5">
      <c r="A1186" s="1" t="str">
        <f>"结肠癌根治术"</f>
        <v>结肠癌根治术</v>
      </c>
      <c r="B1186" s="1">
        <v>1400</v>
      </c>
      <c r="C1186" s="1" t="str">
        <f t="shared" ref="C1186:C1199" si="377">"次"</f>
        <v>次</v>
      </c>
      <c r="D1186" s="1" t="str">
        <f t="shared" si="375"/>
        <v>次</v>
      </c>
      <c r="E1186" s="1" t="str">
        <f t="shared" si="371"/>
        <v>手术费</v>
      </c>
    </row>
    <row r="1187" spans="1:5">
      <c r="A1187" s="1" t="str">
        <f>"阑尾切除术"</f>
        <v>阑尾切除术</v>
      </c>
      <c r="B1187" s="1">
        <v>540</v>
      </c>
      <c r="C1187" s="1" t="str">
        <f t="shared" si="377"/>
        <v>次</v>
      </c>
      <c r="D1187" s="1" t="str">
        <f t="shared" si="375"/>
        <v>次</v>
      </c>
      <c r="E1187" s="1" t="str">
        <f t="shared" si="371"/>
        <v>手术费</v>
      </c>
    </row>
    <row r="1188" spans="1:5">
      <c r="A1188" s="1" t="str">
        <f>"直肠出血缝扎术"</f>
        <v>直肠出血缝扎术</v>
      </c>
      <c r="B1188" s="1">
        <v>378</v>
      </c>
      <c r="C1188" s="1" t="str">
        <f t="shared" si="377"/>
        <v>次</v>
      </c>
      <c r="D1188" s="1" t="str">
        <f t="shared" si="375"/>
        <v>次</v>
      </c>
      <c r="E1188" s="1" t="str">
        <f t="shared" si="371"/>
        <v>手术费</v>
      </c>
    </row>
    <row r="1189" spans="1:5">
      <c r="A1189" s="1" t="str">
        <f>"直肠良性肿物切除术"</f>
        <v>直肠良性肿物切除术</v>
      </c>
      <c r="B1189" s="1">
        <v>540</v>
      </c>
      <c r="C1189" s="1" t="str">
        <f t="shared" si="377"/>
        <v>次</v>
      </c>
      <c r="D1189" s="1" t="str">
        <f t="shared" si="375"/>
        <v>次</v>
      </c>
      <c r="E1189" s="1" t="str">
        <f t="shared" si="371"/>
        <v>手术费</v>
      </c>
    </row>
    <row r="1190" spans="1:5">
      <c r="A1190" s="1" t="str">
        <f>"经内镜直肠良性肿物切除术"</f>
        <v>经内镜直肠良性肿物切除术</v>
      </c>
      <c r="B1190" s="1">
        <v>756</v>
      </c>
      <c r="C1190" s="1" t="str">
        <f t="shared" si="377"/>
        <v>次</v>
      </c>
      <c r="D1190" s="1" t="str">
        <f t="shared" si="375"/>
        <v>次</v>
      </c>
      <c r="E1190" s="1" t="str">
        <f>"胃镜费"</f>
        <v>胃镜费</v>
      </c>
    </row>
    <row r="1191" spans="1:5">
      <c r="A1191" s="1" t="str">
        <f>"直肠狭窄扩张术"</f>
        <v>直肠狭窄扩张术</v>
      </c>
      <c r="B1191" s="1">
        <v>540</v>
      </c>
      <c r="C1191" s="1" t="str">
        <f t="shared" si="377"/>
        <v>次</v>
      </c>
      <c r="D1191" s="1" t="str">
        <f t="shared" si="375"/>
        <v>次</v>
      </c>
      <c r="E1191" s="1" t="str">
        <f t="shared" ref="E1191:E1254" si="378">"手术费"</f>
        <v>手术费</v>
      </c>
    </row>
    <row r="1192" spans="1:5">
      <c r="A1192" s="1" t="str">
        <f>"直肠后间隙切开术"</f>
        <v>直肠后间隙切开术</v>
      </c>
      <c r="B1192" s="1">
        <v>540</v>
      </c>
      <c r="C1192" s="1" t="str">
        <f t="shared" si="377"/>
        <v>次</v>
      </c>
      <c r="D1192" s="1" t="str">
        <f t="shared" si="375"/>
        <v>次</v>
      </c>
      <c r="E1192" s="1" t="str">
        <f t="shared" si="378"/>
        <v>手术费</v>
      </c>
    </row>
    <row r="1193" spans="1:5">
      <c r="A1193" s="1" t="str">
        <f>"直肠前壁切除缝合术"</f>
        <v>直肠前壁切除缝合术</v>
      </c>
      <c r="B1193" s="1">
        <v>648</v>
      </c>
      <c r="C1193" s="1" t="str">
        <f t="shared" si="377"/>
        <v>次</v>
      </c>
      <c r="D1193" s="1" t="str">
        <f t="shared" si="375"/>
        <v>次</v>
      </c>
      <c r="E1193" s="1" t="str">
        <f t="shared" si="378"/>
        <v>手术费</v>
      </c>
    </row>
    <row r="1194" spans="1:5">
      <c r="A1194" s="1" t="str">
        <f>"直肠前突开放式修补术"</f>
        <v>直肠前突开放式修补术</v>
      </c>
      <c r="B1194" s="1">
        <v>648</v>
      </c>
      <c r="C1194" s="1" t="str">
        <f t="shared" si="377"/>
        <v>次</v>
      </c>
      <c r="D1194" s="1" t="str">
        <f t="shared" si="375"/>
        <v>次</v>
      </c>
      <c r="E1194" s="1" t="str">
        <f t="shared" si="378"/>
        <v>手术费</v>
      </c>
    </row>
    <row r="1195" spans="1:5">
      <c r="A1195" s="1" t="str">
        <f>"直肠肛门假性憩室切除术"</f>
        <v>直肠肛门假性憩室切除术</v>
      </c>
      <c r="B1195" s="1">
        <v>648</v>
      </c>
      <c r="C1195" s="1" t="str">
        <f t="shared" si="377"/>
        <v>次</v>
      </c>
      <c r="D1195" s="1" t="str">
        <f t="shared" si="375"/>
        <v>次</v>
      </c>
      <c r="E1195" s="1" t="str">
        <f t="shared" si="378"/>
        <v>手术费</v>
      </c>
    </row>
    <row r="1196" spans="1:5">
      <c r="A1196" s="1" t="str">
        <f>"直肠肛门周围脓肿切开排脓术"</f>
        <v>直肠肛门周围脓肿切开排脓术</v>
      </c>
      <c r="B1196" s="1">
        <v>284</v>
      </c>
      <c r="C1196" s="1" t="str">
        <f t="shared" si="377"/>
        <v>次</v>
      </c>
      <c r="D1196" s="1" t="str">
        <f t="shared" si="375"/>
        <v>次</v>
      </c>
      <c r="E1196" s="1" t="str">
        <f t="shared" si="378"/>
        <v>手术费</v>
      </c>
    </row>
    <row r="1197" spans="1:5">
      <c r="A1197" s="1" t="str">
        <f>"肛周常见疾病手术治疗"</f>
        <v>肛周常见疾病手术治疗</v>
      </c>
      <c r="B1197" s="1">
        <v>432</v>
      </c>
      <c r="C1197" s="1" t="str">
        <f t="shared" si="377"/>
        <v>次</v>
      </c>
      <c r="D1197" s="1" t="str">
        <f t="shared" si="375"/>
        <v>次</v>
      </c>
      <c r="E1197" s="1" t="str">
        <f t="shared" si="378"/>
        <v>手术费</v>
      </c>
    </row>
    <row r="1198" spans="1:5">
      <c r="A1198" s="1" t="str">
        <f>"肛乳头肥大切除术"</f>
        <v>肛乳头肥大切除术</v>
      </c>
      <c r="B1198" s="1">
        <v>432</v>
      </c>
      <c r="C1198" s="1" t="str">
        <f t="shared" si="377"/>
        <v>次</v>
      </c>
      <c r="D1198" s="1" t="str">
        <f t="shared" si="375"/>
        <v>次</v>
      </c>
      <c r="E1198" s="1" t="str">
        <f t="shared" si="378"/>
        <v>手术费</v>
      </c>
    </row>
    <row r="1199" spans="1:5">
      <c r="A1199" s="1" t="str">
        <f>"低位肛瘘切除术"</f>
        <v>低位肛瘘切除术</v>
      </c>
      <c r="B1199" s="1">
        <v>432</v>
      </c>
      <c r="C1199" s="1" t="str">
        <f t="shared" si="377"/>
        <v>次</v>
      </c>
      <c r="D1199" s="1" t="str">
        <f t="shared" si="375"/>
        <v>次</v>
      </c>
      <c r="E1199" s="1" t="str">
        <f t="shared" si="378"/>
        <v>手术费</v>
      </c>
    </row>
    <row r="1200" spans="1:5">
      <c r="A1200" s="1" t="str">
        <f>"复杂肛瘘切除术"</f>
        <v>复杂肛瘘切除术</v>
      </c>
      <c r="B1200" s="1">
        <v>540</v>
      </c>
      <c r="C1200" s="1">
        <v>1</v>
      </c>
      <c r="D1200" s="1" t="str">
        <f t="shared" si="375"/>
        <v>次</v>
      </c>
      <c r="E1200" s="1" t="str">
        <f t="shared" si="378"/>
        <v>手术费</v>
      </c>
    </row>
    <row r="1201" spans="1:5">
      <c r="A1201" s="1" t="str">
        <f>"混合痔嵌顿手法松解回纳术"</f>
        <v>混合痔嵌顿手法松解回纳术</v>
      </c>
      <c r="B1201" s="1">
        <v>540</v>
      </c>
      <c r="C1201" s="1" t="str">
        <f t="shared" ref="C1201:C1209" si="379">"次"</f>
        <v>次</v>
      </c>
      <c r="D1201" s="1" t="str">
        <f t="shared" si="375"/>
        <v>次</v>
      </c>
      <c r="E1201" s="1" t="str">
        <f t="shared" si="378"/>
        <v>手术费</v>
      </c>
    </row>
    <row r="1202" spans="1:5">
      <c r="A1202" s="1" t="str">
        <f>"内痔环切术"</f>
        <v>内痔环切术</v>
      </c>
      <c r="B1202" s="1">
        <v>540</v>
      </c>
      <c r="C1202" s="1" t="str">
        <f t="shared" si="379"/>
        <v>次</v>
      </c>
      <c r="D1202" s="1" t="str">
        <f t="shared" si="375"/>
        <v>次</v>
      </c>
      <c r="E1202" s="1" t="str">
        <f t="shared" si="378"/>
        <v>手术费</v>
      </c>
    </row>
    <row r="1203" spans="1:5">
      <c r="A1203" s="1" t="str">
        <f>"肛门内括约肌侧切术"</f>
        <v>肛门内括约肌侧切术</v>
      </c>
      <c r="B1203" s="1">
        <v>540</v>
      </c>
      <c r="C1203" s="1" t="str">
        <f t="shared" si="379"/>
        <v>次</v>
      </c>
      <c r="D1203" s="1" t="str">
        <f t="shared" si="375"/>
        <v>次</v>
      </c>
      <c r="E1203" s="1" t="str">
        <f t="shared" si="378"/>
        <v>手术费</v>
      </c>
    </row>
    <row r="1204" spans="1:5">
      <c r="A1204" s="1" t="str">
        <f>"胆囊肠吻合术"</f>
        <v>胆囊肠吻合术</v>
      </c>
      <c r="B1204" s="1">
        <v>1080</v>
      </c>
      <c r="C1204" s="1" t="str">
        <f t="shared" si="379"/>
        <v>次</v>
      </c>
      <c r="D1204" s="1" t="str">
        <f t="shared" si="375"/>
        <v>次</v>
      </c>
      <c r="E1204" s="1" t="str">
        <f t="shared" si="378"/>
        <v>手术费</v>
      </c>
    </row>
    <row r="1205" spans="1:5">
      <c r="A1205" s="1" t="str">
        <f>"胆囊切除术"</f>
        <v>胆囊切除术</v>
      </c>
      <c r="B1205" s="1">
        <v>864</v>
      </c>
      <c r="C1205" s="1" t="str">
        <f t="shared" si="379"/>
        <v>次</v>
      </c>
      <c r="D1205" s="1" t="str">
        <f t="shared" si="375"/>
        <v>次</v>
      </c>
      <c r="E1205" s="1" t="str">
        <f t="shared" si="378"/>
        <v>手术费</v>
      </c>
    </row>
    <row r="1206" spans="1:5">
      <c r="A1206" s="1" t="str">
        <f>"胆囊造瘘术"</f>
        <v>胆囊造瘘术</v>
      </c>
      <c r="B1206" s="1">
        <v>864</v>
      </c>
      <c r="C1206" s="1" t="str">
        <f t="shared" si="379"/>
        <v>次</v>
      </c>
      <c r="D1206" s="1" t="str">
        <f t="shared" si="375"/>
        <v>次</v>
      </c>
      <c r="E1206" s="1" t="str">
        <f t="shared" si="378"/>
        <v>手术费</v>
      </c>
    </row>
    <row r="1207" spans="1:5">
      <c r="A1207" s="1" t="str">
        <f>"肝胆总管切开取石+空肠Roux吻合"</f>
        <v>肝胆总管切开取石+空肠Roux吻合</v>
      </c>
      <c r="B1207" s="1">
        <v>1300</v>
      </c>
      <c r="C1207" s="1" t="str">
        <f t="shared" si="379"/>
        <v>次</v>
      </c>
      <c r="D1207" s="1" t="str">
        <f t="shared" si="375"/>
        <v>次</v>
      </c>
      <c r="E1207" s="1" t="str">
        <f t="shared" si="378"/>
        <v>手术费</v>
      </c>
    </row>
    <row r="1208" spans="1:5">
      <c r="A1208" s="1" t="str">
        <f>"胆总管囊肿外引流术"</f>
        <v>胆总管囊肿外引流术</v>
      </c>
      <c r="B1208" s="1">
        <v>864</v>
      </c>
      <c r="C1208" s="1" t="str">
        <f t="shared" si="379"/>
        <v>次</v>
      </c>
      <c r="D1208" s="1" t="str">
        <f t="shared" si="375"/>
        <v>次</v>
      </c>
      <c r="E1208" s="1" t="str">
        <f t="shared" si="378"/>
        <v>手术费</v>
      </c>
    </row>
    <row r="1209" spans="1:5">
      <c r="A1209" s="1" t="str">
        <f>"胆总管探查T管引流术"</f>
        <v>胆总管探查T管引流术</v>
      </c>
      <c r="B1209" s="1">
        <v>864</v>
      </c>
      <c r="C1209" s="1" t="str">
        <f t="shared" si="379"/>
        <v>次</v>
      </c>
      <c r="D1209" s="1" t="str">
        <f t="shared" si="375"/>
        <v>次</v>
      </c>
      <c r="E1209" s="1" t="str">
        <f t="shared" si="378"/>
        <v>手术费</v>
      </c>
    </row>
    <row r="1210" spans="1:5">
      <c r="A1210" s="1" t="str">
        <f>"腹股沟疝修补术"</f>
        <v>腹股沟疝修补术</v>
      </c>
      <c r="B1210" s="1">
        <v>864</v>
      </c>
      <c r="C1210" s="1" t="str">
        <f>"单侧"</f>
        <v>单侧</v>
      </c>
      <c r="D1210" s="1" t="str">
        <f>"单侧"</f>
        <v>单侧</v>
      </c>
      <c r="E1210" s="1" t="str">
        <f t="shared" si="378"/>
        <v>手术费</v>
      </c>
    </row>
    <row r="1211" spans="1:5">
      <c r="A1211" s="1" t="str">
        <f>"嵌顿疝复位修补术"</f>
        <v>嵌顿疝复位修补术</v>
      </c>
      <c r="B1211" s="1">
        <v>864</v>
      </c>
      <c r="C1211" s="1" t="str">
        <f>"单侧"</f>
        <v>单侧</v>
      </c>
      <c r="D1211" s="1" t="str">
        <f>"单侧"</f>
        <v>单侧</v>
      </c>
      <c r="E1211" s="1" t="str">
        <f t="shared" si="378"/>
        <v>手术费</v>
      </c>
    </row>
    <row r="1212" spans="1:5">
      <c r="A1212" s="1" t="str">
        <f>"脐疝修补术"</f>
        <v>脐疝修补术</v>
      </c>
      <c r="B1212" s="1">
        <v>864</v>
      </c>
      <c r="C1212" s="1" t="str">
        <f t="shared" ref="C1212:C1230" si="380">"次"</f>
        <v>次</v>
      </c>
      <c r="D1212" s="1" t="str">
        <f t="shared" ref="D1212:D1230" si="381">"次"</f>
        <v>次</v>
      </c>
      <c r="E1212" s="1" t="str">
        <f t="shared" si="378"/>
        <v>手术费</v>
      </c>
    </row>
    <row r="1213" spans="1:5">
      <c r="A1213" s="1" t="str">
        <f>"腹壁切口疝修补术"</f>
        <v>腹壁切口疝修补术</v>
      </c>
      <c r="B1213" s="1">
        <v>864</v>
      </c>
      <c r="C1213" s="1" t="str">
        <f t="shared" si="380"/>
        <v>次</v>
      </c>
      <c r="D1213" s="1" t="str">
        <f t="shared" si="381"/>
        <v>次</v>
      </c>
      <c r="E1213" s="1" t="str">
        <f t="shared" si="378"/>
        <v>手术费</v>
      </c>
    </row>
    <row r="1214" spans="1:5">
      <c r="A1214" s="1" t="str">
        <f>"剖腹探查术"</f>
        <v>剖腹探查术</v>
      </c>
      <c r="B1214" s="1">
        <v>864</v>
      </c>
      <c r="C1214" s="1" t="str">
        <f t="shared" si="380"/>
        <v>次</v>
      </c>
      <c r="D1214" s="1" t="str">
        <f t="shared" si="381"/>
        <v>次</v>
      </c>
      <c r="E1214" s="1" t="str">
        <f t="shared" si="378"/>
        <v>手术费</v>
      </c>
    </row>
    <row r="1215" spans="1:5">
      <c r="A1215" s="1" t="str">
        <f>"开腹腹腔内脓肿引流术"</f>
        <v>开腹腹腔内脓肿引流术</v>
      </c>
      <c r="B1215" s="1">
        <v>864</v>
      </c>
      <c r="C1215" s="1" t="str">
        <f t="shared" si="380"/>
        <v>次</v>
      </c>
      <c r="D1215" s="1" t="str">
        <f t="shared" si="381"/>
        <v>次</v>
      </c>
      <c r="E1215" s="1" t="str">
        <f t="shared" si="378"/>
        <v>手术费</v>
      </c>
    </row>
    <row r="1216" spans="1:5">
      <c r="A1216" s="1" t="str">
        <f>"腹腔内肿物切除术"</f>
        <v>腹腔内肿物切除术</v>
      </c>
      <c r="B1216" s="1">
        <v>864</v>
      </c>
      <c r="C1216" s="1" t="str">
        <f t="shared" si="380"/>
        <v>次</v>
      </c>
      <c r="D1216" s="1" t="str">
        <f t="shared" si="381"/>
        <v>次</v>
      </c>
      <c r="E1216" s="1" t="str">
        <f t="shared" si="378"/>
        <v>手术费</v>
      </c>
    </row>
    <row r="1217" spans="1:5">
      <c r="A1217" s="1" t="str">
        <f>"腹膜后肿瘤切除术"</f>
        <v>腹膜后肿瘤切除术</v>
      </c>
      <c r="B1217" s="1">
        <v>1890</v>
      </c>
      <c r="C1217" s="1" t="str">
        <f t="shared" si="380"/>
        <v>次</v>
      </c>
      <c r="D1217" s="1" t="str">
        <f t="shared" si="381"/>
        <v>次</v>
      </c>
      <c r="E1217" s="1" t="str">
        <f t="shared" si="378"/>
        <v>手术费</v>
      </c>
    </row>
    <row r="1218" spans="1:5">
      <c r="A1218" s="1" t="str">
        <f>"腹壁肿瘤切除术"</f>
        <v>腹壁肿瘤切除术</v>
      </c>
      <c r="B1218" s="1">
        <v>756</v>
      </c>
      <c r="C1218" s="1" t="str">
        <f t="shared" si="380"/>
        <v>次</v>
      </c>
      <c r="D1218" s="1" t="str">
        <f t="shared" si="381"/>
        <v>次</v>
      </c>
      <c r="E1218" s="1" t="str">
        <f t="shared" si="378"/>
        <v>手术费</v>
      </c>
    </row>
    <row r="1219" spans="1:5">
      <c r="A1219" s="1" t="str">
        <f>"肾破裂修补术"</f>
        <v>肾破裂修补术</v>
      </c>
      <c r="B1219" s="1">
        <v>1080</v>
      </c>
      <c r="C1219" s="1" t="str">
        <f t="shared" si="380"/>
        <v>次</v>
      </c>
      <c r="D1219" s="1" t="str">
        <f t="shared" si="381"/>
        <v>次</v>
      </c>
      <c r="E1219" s="1" t="str">
        <f t="shared" si="378"/>
        <v>手术费</v>
      </c>
    </row>
    <row r="1220" spans="1:5">
      <c r="A1220" s="1" t="str">
        <f>"肾固定术"</f>
        <v>肾固定术</v>
      </c>
      <c r="B1220" s="1">
        <v>864</v>
      </c>
      <c r="C1220" s="1" t="str">
        <f t="shared" si="380"/>
        <v>次</v>
      </c>
      <c r="D1220" s="1" t="str">
        <f t="shared" si="381"/>
        <v>次</v>
      </c>
      <c r="E1220" s="1" t="str">
        <f t="shared" si="378"/>
        <v>手术费</v>
      </c>
    </row>
    <row r="1221" spans="1:5">
      <c r="A1221" s="1" t="str">
        <f>"肾包膜剥脱术"</f>
        <v>肾包膜剥脱术</v>
      </c>
      <c r="B1221" s="1">
        <v>864</v>
      </c>
      <c r="C1221" s="1" t="str">
        <f t="shared" si="380"/>
        <v>次</v>
      </c>
      <c r="D1221" s="1" t="str">
        <f t="shared" si="381"/>
        <v>次</v>
      </c>
      <c r="E1221" s="1" t="str">
        <f t="shared" si="378"/>
        <v>手术费</v>
      </c>
    </row>
    <row r="1222" spans="1:5">
      <c r="A1222" s="1" t="str">
        <f>"肾周围淋巴管剥脱术"</f>
        <v>肾周围淋巴管剥脱术</v>
      </c>
      <c r="B1222" s="1">
        <v>1080</v>
      </c>
      <c r="C1222" s="1" t="str">
        <f t="shared" si="380"/>
        <v>次</v>
      </c>
      <c r="D1222" s="1" t="str">
        <f t="shared" si="381"/>
        <v>次</v>
      </c>
      <c r="E1222" s="1" t="str">
        <f t="shared" si="378"/>
        <v>手术费</v>
      </c>
    </row>
    <row r="1223" spans="1:5">
      <c r="A1223" s="1" t="str">
        <f>"肾肿瘤剔除术"</f>
        <v>肾肿瘤剔除术</v>
      </c>
      <c r="B1223" s="1">
        <v>1080</v>
      </c>
      <c r="C1223" s="1" t="str">
        <f t="shared" si="380"/>
        <v>次</v>
      </c>
      <c r="D1223" s="1" t="str">
        <f t="shared" si="381"/>
        <v>次</v>
      </c>
      <c r="E1223" s="1" t="str">
        <f t="shared" si="378"/>
        <v>手术费</v>
      </c>
    </row>
    <row r="1224" spans="1:5">
      <c r="A1224" s="1" t="str">
        <f>"肾切除术"</f>
        <v>肾切除术</v>
      </c>
      <c r="B1224" s="1">
        <v>864</v>
      </c>
      <c r="C1224" s="1" t="str">
        <f t="shared" si="380"/>
        <v>次</v>
      </c>
      <c r="D1224" s="1" t="str">
        <f t="shared" si="381"/>
        <v>次</v>
      </c>
      <c r="E1224" s="1" t="str">
        <f t="shared" si="378"/>
        <v>手术费</v>
      </c>
    </row>
    <row r="1225" spans="1:5">
      <c r="A1225" s="1" t="str">
        <f>"肾部分切除术"</f>
        <v>肾部分切除术</v>
      </c>
      <c r="B1225" s="1">
        <v>1640</v>
      </c>
      <c r="C1225" s="1" t="str">
        <f t="shared" si="380"/>
        <v>次</v>
      </c>
      <c r="D1225" s="1" t="str">
        <f t="shared" si="381"/>
        <v>次</v>
      </c>
      <c r="E1225" s="1" t="str">
        <f t="shared" si="378"/>
        <v>手术费</v>
      </c>
    </row>
    <row r="1226" spans="1:5">
      <c r="A1226" s="1" t="str">
        <f>"根治性肾切除术"</f>
        <v>根治性肾切除术</v>
      </c>
      <c r="B1226" s="1">
        <v>1890</v>
      </c>
      <c r="C1226" s="1" t="str">
        <f t="shared" si="380"/>
        <v>次</v>
      </c>
      <c r="D1226" s="1" t="str">
        <f t="shared" si="381"/>
        <v>次</v>
      </c>
      <c r="E1226" s="1" t="str">
        <f t="shared" si="378"/>
        <v>手术费</v>
      </c>
    </row>
    <row r="1227" spans="1:5">
      <c r="A1227" s="1" t="str">
        <f>"重复肾重复输尿管切除术"</f>
        <v>重复肾重复输尿管切除术</v>
      </c>
      <c r="B1227" s="1">
        <v>1080</v>
      </c>
      <c r="C1227" s="1" t="str">
        <f t="shared" si="380"/>
        <v>次</v>
      </c>
      <c r="D1227" s="1" t="str">
        <f t="shared" si="381"/>
        <v>次</v>
      </c>
      <c r="E1227" s="1" t="str">
        <f t="shared" si="378"/>
        <v>手术费</v>
      </c>
    </row>
    <row r="1228" spans="1:5">
      <c r="A1228" s="1" t="str">
        <f>"融合肾分解术"</f>
        <v>融合肾分解术</v>
      </c>
      <c r="B1228" s="1">
        <v>972</v>
      </c>
      <c r="C1228" s="1" t="str">
        <f t="shared" si="380"/>
        <v>次</v>
      </c>
      <c r="D1228" s="1" t="str">
        <f t="shared" si="381"/>
        <v>次</v>
      </c>
      <c r="E1228" s="1" t="str">
        <f t="shared" si="378"/>
        <v>手术费</v>
      </c>
    </row>
    <row r="1229" spans="1:5">
      <c r="A1229" s="1" t="str">
        <f>"肾实质切开造瘘术"</f>
        <v>肾实质切开造瘘术</v>
      </c>
      <c r="B1229" s="1">
        <v>972</v>
      </c>
      <c r="C1229" s="1" t="str">
        <f t="shared" si="380"/>
        <v>次</v>
      </c>
      <c r="D1229" s="1" t="str">
        <f t="shared" si="381"/>
        <v>次</v>
      </c>
      <c r="E1229" s="1" t="str">
        <f t="shared" si="378"/>
        <v>手术费</v>
      </c>
    </row>
    <row r="1230" spans="1:5">
      <c r="A1230" s="1" t="str">
        <f>"肾囊肿切除术"</f>
        <v>肾囊肿切除术</v>
      </c>
      <c r="B1230" s="1">
        <v>972</v>
      </c>
      <c r="C1230" s="1" t="str">
        <f t="shared" si="380"/>
        <v>次</v>
      </c>
      <c r="D1230" s="1" t="str">
        <f t="shared" si="381"/>
        <v>次</v>
      </c>
      <c r="E1230" s="1" t="str">
        <f t="shared" si="378"/>
        <v>手术费</v>
      </c>
    </row>
    <row r="1231" spans="1:5">
      <c r="A1231" s="1" t="str">
        <f>"多囊肾去顶减压术"</f>
        <v>多囊肾去顶减压术</v>
      </c>
      <c r="B1231" s="1">
        <v>1080</v>
      </c>
      <c r="C1231" s="1" t="str">
        <f>"单侧"</f>
        <v>单侧</v>
      </c>
      <c r="D1231" s="1" t="str">
        <f>"单侧"</f>
        <v>单侧</v>
      </c>
      <c r="E1231" s="1" t="str">
        <f t="shared" si="378"/>
        <v>手术费</v>
      </c>
    </row>
    <row r="1232" spans="1:5">
      <c r="A1232" s="1" t="str">
        <f>"肾切开取石术"</f>
        <v>肾切开取石术</v>
      </c>
      <c r="B1232" s="1">
        <v>1190</v>
      </c>
      <c r="C1232" s="1" t="str">
        <f t="shared" ref="C1232:C1234" si="382">"次"</f>
        <v>次</v>
      </c>
      <c r="D1232" s="1" t="str">
        <f t="shared" ref="D1232:D1247" si="383">"次"</f>
        <v>次</v>
      </c>
      <c r="E1232" s="1" t="str">
        <f t="shared" si="378"/>
        <v>手术费</v>
      </c>
    </row>
    <row r="1233" spans="1:5">
      <c r="A1233" s="1" t="str">
        <f>"肾盂癌根治术"</f>
        <v>肾盂癌根治术</v>
      </c>
      <c r="B1233" s="1">
        <v>1510</v>
      </c>
      <c r="C1233" s="1" t="str">
        <f t="shared" si="382"/>
        <v>次</v>
      </c>
      <c r="D1233" s="1" t="str">
        <f t="shared" si="383"/>
        <v>次</v>
      </c>
      <c r="E1233" s="1" t="str">
        <f t="shared" si="378"/>
        <v>手术费</v>
      </c>
    </row>
    <row r="1234" spans="1:5">
      <c r="A1234" s="1" t="str">
        <f>"肾盂成形肾盂输尿管再吻合术"</f>
        <v>肾盂成形肾盂输尿管再吻合术</v>
      </c>
      <c r="B1234" s="1">
        <v>1300</v>
      </c>
      <c r="C1234" s="1" t="str">
        <f t="shared" si="382"/>
        <v>次</v>
      </c>
      <c r="D1234" s="1" t="str">
        <f t="shared" si="383"/>
        <v>次</v>
      </c>
      <c r="E1234" s="1" t="str">
        <f t="shared" si="378"/>
        <v>手术费</v>
      </c>
    </row>
    <row r="1235" spans="1:5">
      <c r="A1235" s="1" t="str">
        <f>"肾盂输尿管成形术"</f>
        <v>肾盂输尿管成形术</v>
      </c>
      <c r="B1235" s="1">
        <v>1080</v>
      </c>
      <c r="C1235" s="1" t="str">
        <f>"项"</f>
        <v>项</v>
      </c>
      <c r="D1235" s="1" t="str">
        <f t="shared" si="383"/>
        <v>次</v>
      </c>
      <c r="E1235" s="1" t="str">
        <f t="shared" si="378"/>
        <v>手术费</v>
      </c>
    </row>
    <row r="1236" spans="1:5">
      <c r="A1236" s="1" t="str">
        <f>"肾盂输尿管成形术"</f>
        <v>肾盂输尿管成形术</v>
      </c>
      <c r="B1236" s="1">
        <v>1080</v>
      </c>
      <c r="C1236" s="1" t="str">
        <f t="shared" ref="C1236:C1247" si="384">"次"</f>
        <v>次</v>
      </c>
      <c r="D1236" s="1" t="str">
        <f t="shared" si="383"/>
        <v>次</v>
      </c>
      <c r="E1236" s="1" t="str">
        <f t="shared" si="378"/>
        <v>手术费</v>
      </c>
    </row>
    <row r="1237" spans="1:5">
      <c r="A1237" s="1" t="str">
        <f>"输尿管切开取石术"</f>
        <v>输尿管切开取石术</v>
      </c>
      <c r="B1237" s="1">
        <v>648</v>
      </c>
      <c r="C1237" s="1" t="str">
        <f t="shared" si="384"/>
        <v>次</v>
      </c>
      <c r="D1237" s="1" t="str">
        <f t="shared" si="383"/>
        <v>次</v>
      </c>
      <c r="E1237" s="1" t="str">
        <f t="shared" si="378"/>
        <v>手术费</v>
      </c>
    </row>
    <row r="1238" spans="1:5">
      <c r="A1238" s="1" t="str">
        <f>"输尿管损伤修补术"</f>
        <v>输尿管损伤修补术</v>
      </c>
      <c r="B1238" s="1">
        <v>648</v>
      </c>
      <c r="C1238" s="1" t="str">
        <f t="shared" si="384"/>
        <v>次</v>
      </c>
      <c r="D1238" s="1" t="str">
        <f t="shared" si="383"/>
        <v>次</v>
      </c>
      <c r="E1238" s="1" t="str">
        <f t="shared" si="378"/>
        <v>手术费</v>
      </c>
    </row>
    <row r="1239" spans="1:5">
      <c r="A1239" s="1" t="str">
        <f>"输尿管狭窄段切除再吻合术"</f>
        <v>输尿管狭窄段切除再吻合术</v>
      </c>
      <c r="B1239" s="1">
        <v>1080</v>
      </c>
      <c r="C1239" s="1" t="str">
        <f t="shared" si="384"/>
        <v>次</v>
      </c>
      <c r="D1239" s="1" t="str">
        <f t="shared" si="383"/>
        <v>次</v>
      </c>
      <c r="E1239" s="1" t="str">
        <f t="shared" si="378"/>
        <v>手术费</v>
      </c>
    </row>
    <row r="1240" spans="1:5">
      <c r="A1240" s="1" t="str">
        <f>"输尿管开口囊肿切除术"</f>
        <v>输尿管开口囊肿切除术</v>
      </c>
      <c r="B1240" s="1">
        <v>648</v>
      </c>
      <c r="C1240" s="1" t="str">
        <f t="shared" si="384"/>
        <v>次</v>
      </c>
      <c r="D1240" s="1" t="str">
        <f t="shared" si="383"/>
        <v>次</v>
      </c>
      <c r="E1240" s="1" t="str">
        <f t="shared" si="378"/>
        <v>手术费</v>
      </c>
    </row>
    <row r="1241" spans="1:5">
      <c r="A1241" s="1" t="str">
        <f>"输尿管膀胱再植术"</f>
        <v>输尿管膀胱再植术</v>
      </c>
      <c r="B1241" s="1">
        <v>1080</v>
      </c>
      <c r="C1241" s="1" t="str">
        <f t="shared" si="384"/>
        <v>次</v>
      </c>
      <c r="D1241" s="1" t="str">
        <f t="shared" si="383"/>
        <v>次</v>
      </c>
      <c r="E1241" s="1" t="str">
        <f t="shared" si="378"/>
        <v>手术费</v>
      </c>
    </row>
    <row r="1242" spans="1:5">
      <c r="A1242" s="1" t="str">
        <f>"膀胱造瘘术"</f>
        <v>膀胱造瘘术</v>
      </c>
      <c r="B1242" s="1">
        <v>540</v>
      </c>
      <c r="C1242" s="1" t="str">
        <f t="shared" si="384"/>
        <v>次</v>
      </c>
      <c r="D1242" s="1" t="str">
        <f t="shared" si="383"/>
        <v>次</v>
      </c>
      <c r="E1242" s="1" t="str">
        <f t="shared" si="378"/>
        <v>手术费</v>
      </c>
    </row>
    <row r="1243" spans="1:5">
      <c r="A1243" s="1" t="str">
        <f>"精囊肿物切除术"</f>
        <v>精囊肿物切除术</v>
      </c>
      <c r="B1243" s="1">
        <v>1190</v>
      </c>
      <c r="C1243" s="1" t="str">
        <f t="shared" si="384"/>
        <v>次</v>
      </c>
      <c r="D1243" s="1" t="str">
        <f t="shared" si="383"/>
        <v>次</v>
      </c>
      <c r="E1243" s="1" t="str">
        <f t="shared" si="378"/>
        <v>手术费</v>
      </c>
    </row>
    <row r="1244" spans="1:5">
      <c r="A1244" s="1" t="str">
        <f>"阴囊坏死扩创术"</f>
        <v>阴囊坏死扩创术</v>
      </c>
      <c r="B1244" s="1">
        <v>324</v>
      </c>
      <c r="C1244" s="1" t="str">
        <f t="shared" si="384"/>
        <v>次</v>
      </c>
      <c r="D1244" s="1" t="str">
        <f t="shared" si="383"/>
        <v>次</v>
      </c>
      <c r="E1244" s="1" t="str">
        <f t="shared" si="378"/>
        <v>手术费</v>
      </c>
    </row>
    <row r="1245" spans="1:5">
      <c r="A1245" s="1" t="str">
        <f>"阴囊脓肿引流术"</f>
        <v>阴囊脓肿引流术</v>
      </c>
      <c r="B1245" s="1">
        <v>324</v>
      </c>
      <c r="C1245" s="1" t="str">
        <f t="shared" si="384"/>
        <v>次</v>
      </c>
      <c r="D1245" s="1" t="str">
        <f t="shared" si="383"/>
        <v>次</v>
      </c>
      <c r="E1245" s="1" t="str">
        <f t="shared" si="378"/>
        <v>手术费</v>
      </c>
    </row>
    <row r="1246" spans="1:5">
      <c r="A1246" s="1" t="str">
        <f>"阴囊成形术"</f>
        <v>阴囊成形术</v>
      </c>
      <c r="B1246" s="1">
        <v>540</v>
      </c>
      <c r="C1246" s="1" t="str">
        <f t="shared" si="384"/>
        <v>次</v>
      </c>
      <c r="D1246" s="1" t="str">
        <f t="shared" si="383"/>
        <v>次</v>
      </c>
      <c r="E1246" s="1" t="str">
        <f t="shared" si="378"/>
        <v>手术费</v>
      </c>
    </row>
    <row r="1247" spans="1:5">
      <c r="A1247" s="1" t="str">
        <f>"阴囊肿物切除术"</f>
        <v>阴囊肿物切除术</v>
      </c>
      <c r="B1247" s="1">
        <v>324</v>
      </c>
      <c r="C1247" s="1" t="str">
        <f t="shared" si="384"/>
        <v>次</v>
      </c>
      <c r="D1247" s="1" t="str">
        <f t="shared" si="383"/>
        <v>次</v>
      </c>
      <c r="E1247" s="1" t="str">
        <f t="shared" si="378"/>
        <v>手术费</v>
      </c>
    </row>
    <row r="1248" spans="1:5">
      <c r="A1248" s="1" t="str">
        <f>"高位隐睾下降固定术"</f>
        <v>高位隐睾下降固定术</v>
      </c>
      <c r="B1248" s="1">
        <v>648</v>
      </c>
      <c r="C1248" s="1" t="str">
        <f t="shared" ref="C1248:C1251" si="385">"单侧"</f>
        <v>单侧</v>
      </c>
      <c r="D1248" s="1" t="str">
        <f t="shared" ref="D1248:D1251" si="386">"单侧"</f>
        <v>单侧</v>
      </c>
      <c r="E1248" s="1" t="str">
        <f t="shared" si="378"/>
        <v>手术费</v>
      </c>
    </row>
    <row r="1249" spans="1:5">
      <c r="A1249" s="1" t="str">
        <f>"睾丸鞘膜翻转术"</f>
        <v>睾丸鞘膜翻转术</v>
      </c>
      <c r="B1249" s="1">
        <v>432</v>
      </c>
      <c r="C1249" s="1" t="str">
        <f t="shared" si="385"/>
        <v>单侧</v>
      </c>
      <c r="D1249" s="1" t="str">
        <f t="shared" si="386"/>
        <v>单侧</v>
      </c>
      <c r="E1249" s="1" t="str">
        <f t="shared" si="378"/>
        <v>手术费</v>
      </c>
    </row>
    <row r="1250" spans="1:5">
      <c r="A1250" s="1" t="str">
        <f>"附睾切除术"</f>
        <v>附睾切除术</v>
      </c>
      <c r="B1250" s="1">
        <v>540</v>
      </c>
      <c r="C1250" s="1" t="str">
        <f t="shared" ref="C1250:C1258" si="387">"次"</f>
        <v>次</v>
      </c>
      <c r="D1250" s="1" t="str">
        <f t="shared" ref="D1250:D1263" si="388">"次"</f>
        <v>次</v>
      </c>
      <c r="E1250" s="1" t="str">
        <f t="shared" si="378"/>
        <v>手术费</v>
      </c>
    </row>
    <row r="1251" spans="1:5">
      <c r="A1251" s="1" t="str">
        <f>"精索静脉曲张高位结扎术"</f>
        <v>精索静脉曲张高位结扎术</v>
      </c>
      <c r="B1251" s="1">
        <v>432</v>
      </c>
      <c r="C1251" s="1" t="str">
        <f t="shared" si="385"/>
        <v>单侧</v>
      </c>
      <c r="D1251" s="1" t="str">
        <f t="shared" si="386"/>
        <v>单侧</v>
      </c>
      <c r="E1251" s="1" t="str">
        <f t="shared" si="378"/>
        <v>手术费</v>
      </c>
    </row>
    <row r="1252" spans="1:5">
      <c r="A1252" s="1" t="str">
        <f>"精索静脉曲张高位结扎术分流术加收"</f>
        <v>精索静脉曲张高位结扎术分流术加收</v>
      </c>
      <c r="B1252" s="1">
        <v>150</v>
      </c>
      <c r="C1252" s="1" t="str">
        <f t="shared" si="387"/>
        <v>次</v>
      </c>
      <c r="D1252" s="1" t="str">
        <f t="shared" si="388"/>
        <v>次</v>
      </c>
      <c r="E1252" s="1" t="str">
        <f t="shared" si="378"/>
        <v>手术费</v>
      </c>
    </row>
    <row r="1253" spans="1:5">
      <c r="A1253" s="1" t="str">
        <f>"嵌顿包茎松解术"</f>
        <v>嵌顿包茎松解术</v>
      </c>
      <c r="B1253" s="1">
        <v>216</v>
      </c>
      <c r="C1253" s="1">
        <v>1</v>
      </c>
      <c r="D1253" s="1" t="str">
        <f t="shared" si="388"/>
        <v>次</v>
      </c>
      <c r="E1253" s="1" t="str">
        <f t="shared" si="378"/>
        <v>手术费</v>
      </c>
    </row>
    <row r="1254" spans="1:5">
      <c r="A1254" s="1" t="str">
        <f>"包皮环切术"</f>
        <v>包皮环切术</v>
      </c>
      <c r="B1254" s="1">
        <v>243</v>
      </c>
      <c r="C1254" s="1" t="str">
        <f t="shared" si="387"/>
        <v>次</v>
      </c>
      <c r="D1254" s="1" t="str">
        <f t="shared" si="388"/>
        <v>次</v>
      </c>
      <c r="E1254" s="1" t="str">
        <f t="shared" si="378"/>
        <v>手术费</v>
      </c>
    </row>
    <row r="1255" spans="1:5">
      <c r="A1255" s="1" t="str">
        <f>"阴茎包皮过短整形术"</f>
        <v>阴茎包皮过短整形术</v>
      </c>
      <c r="B1255" s="1">
        <v>567</v>
      </c>
      <c r="C1255" s="1" t="str">
        <f t="shared" si="387"/>
        <v>次</v>
      </c>
      <c r="D1255" s="1" t="str">
        <f t="shared" si="388"/>
        <v>次</v>
      </c>
      <c r="E1255" s="1" t="str">
        <f t="shared" ref="E1255:E1270" si="389">"手术费"</f>
        <v>手术费</v>
      </c>
    </row>
    <row r="1256" spans="1:5">
      <c r="A1256" s="1" t="str">
        <f>"阴茎外伤清创术"</f>
        <v>阴茎外伤清创术</v>
      </c>
      <c r="B1256" s="1">
        <v>284</v>
      </c>
      <c r="C1256" s="1" t="str">
        <f t="shared" si="387"/>
        <v>次</v>
      </c>
      <c r="D1256" s="1" t="str">
        <f t="shared" si="388"/>
        <v>次</v>
      </c>
      <c r="E1256" s="1" t="str">
        <f t="shared" si="389"/>
        <v>手术费</v>
      </c>
    </row>
    <row r="1257" spans="1:5">
      <c r="A1257" s="1" t="str">
        <f>"阴茎囊肿切除术"</f>
        <v>阴茎囊肿切除术</v>
      </c>
      <c r="B1257" s="1">
        <v>486</v>
      </c>
      <c r="C1257" s="1" t="str">
        <f t="shared" si="387"/>
        <v>次</v>
      </c>
      <c r="D1257" s="1" t="str">
        <f t="shared" si="388"/>
        <v>次</v>
      </c>
      <c r="E1257" s="1" t="str">
        <f t="shared" si="389"/>
        <v>手术费</v>
      </c>
    </row>
    <row r="1258" spans="1:5">
      <c r="A1258" s="1" t="str">
        <f>"卵巢癌探查术"</f>
        <v>卵巢癌探查术</v>
      </c>
      <c r="B1258" s="1">
        <v>972</v>
      </c>
      <c r="C1258" s="1" t="str">
        <f t="shared" si="387"/>
        <v>次</v>
      </c>
      <c r="D1258" s="1" t="str">
        <f t="shared" si="388"/>
        <v>次</v>
      </c>
      <c r="E1258" s="1" t="str">
        <f t="shared" si="389"/>
        <v>手术费</v>
      </c>
    </row>
    <row r="1259" spans="1:5">
      <c r="A1259" s="1" t="str">
        <f>"宫颈息肉切除术"</f>
        <v>宫颈息肉切除术</v>
      </c>
      <c r="B1259" s="1">
        <v>202</v>
      </c>
      <c r="C1259" s="1" t="str">
        <f>"项"</f>
        <v>项</v>
      </c>
      <c r="D1259" s="1" t="str">
        <f t="shared" si="388"/>
        <v>次</v>
      </c>
      <c r="E1259" s="1" t="str">
        <f t="shared" si="389"/>
        <v>手术费</v>
      </c>
    </row>
    <row r="1260" spans="1:5">
      <c r="A1260" s="1" t="str">
        <f>"阴道异物取出术"</f>
        <v>阴道异物取出术</v>
      </c>
      <c r="B1260" s="1">
        <v>162</v>
      </c>
      <c r="C1260" s="1" t="str">
        <f t="shared" ref="C1260:C1263" si="390">"次"</f>
        <v>次</v>
      </c>
      <c r="D1260" s="1" t="str">
        <f t="shared" si="388"/>
        <v>次</v>
      </c>
      <c r="E1260" s="1" t="str">
        <f t="shared" si="389"/>
        <v>手术费</v>
      </c>
    </row>
    <row r="1261" spans="1:5">
      <c r="A1261" s="1" t="str">
        <f>"阴道裂伤缝合术"</f>
        <v>阴道裂伤缝合术</v>
      </c>
      <c r="B1261" s="1">
        <v>324</v>
      </c>
      <c r="C1261" s="1" t="str">
        <f t="shared" si="390"/>
        <v>次</v>
      </c>
      <c r="D1261" s="1" t="str">
        <f t="shared" si="388"/>
        <v>次</v>
      </c>
      <c r="E1261" s="1" t="str">
        <f t="shared" si="389"/>
        <v>手术费</v>
      </c>
    </row>
    <row r="1262" spans="1:5">
      <c r="A1262" s="1" t="str">
        <f>"阴道扩张术"</f>
        <v>阴道扩张术</v>
      </c>
      <c r="B1262" s="1">
        <v>216</v>
      </c>
      <c r="C1262" s="1" t="str">
        <f t="shared" si="390"/>
        <v>次</v>
      </c>
      <c r="D1262" s="1" t="str">
        <f t="shared" si="388"/>
        <v>次</v>
      </c>
      <c r="E1262" s="1" t="str">
        <f t="shared" si="389"/>
        <v>手术费</v>
      </c>
    </row>
    <row r="1263" spans="1:5">
      <c r="A1263" s="1" t="str">
        <f>"阴道良性肿物切除术"</f>
        <v>阴道良性肿物切除术</v>
      </c>
      <c r="B1263" s="1">
        <v>486</v>
      </c>
      <c r="C1263" s="1" t="str">
        <f t="shared" si="390"/>
        <v>次</v>
      </c>
      <c r="D1263" s="1" t="str">
        <f t="shared" si="388"/>
        <v>次</v>
      </c>
      <c r="E1263" s="1" t="str">
        <f t="shared" si="389"/>
        <v>手术费</v>
      </c>
    </row>
    <row r="1264" spans="1:5">
      <c r="A1264" s="1" t="str">
        <f>"阴道结节切除术"</f>
        <v>阴道结节切除术</v>
      </c>
      <c r="B1264" s="1">
        <v>290</v>
      </c>
      <c r="C1264" s="1" t="str">
        <f>"项"</f>
        <v>项</v>
      </c>
      <c r="D1264" s="1" t="str">
        <f>"项"</f>
        <v>项</v>
      </c>
      <c r="E1264" s="1" t="str">
        <f t="shared" si="389"/>
        <v>手术费</v>
      </c>
    </row>
    <row r="1265" spans="1:5">
      <c r="A1265" s="1" t="str">
        <f>"阴道壁血肿切开术"</f>
        <v>阴道壁血肿切开术</v>
      </c>
      <c r="B1265" s="1">
        <v>432</v>
      </c>
      <c r="C1265" s="1" t="str">
        <f t="shared" ref="C1265:C1270" si="391">"次"</f>
        <v>次</v>
      </c>
      <c r="D1265" s="1" t="str">
        <f t="shared" ref="D1265:D1270" si="392">"次"</f>
        <v>次</v>
      </c>
      <c r="E1265" s="1" t="str">
        <f t="shared" si="389"/>
        <v>手术费</v>
      </c>
    </row>
    <row r="1266" spans="1:5">
      <c r="A1266" s="1" t="str">
        <f>"外阴损伤缝合术"</f>
        <v>外阴损伤缝合术</v>
      </c>
      <c r="B1266" s="1">
        <v>324</v>
      </c>
      <c r="C1266" s="1" t="str">
        <f t="shared" si="391"/>
        <v>次</v>
      </c>
      <c r="D1266" s="1" t="str">
        <f t="shared" si="392"/>
        <v>次</v>
      </c>
      <c r="E1266" s="1" t="str">
        <f t="shared" si="389"/>
        <v>手术费</v>
      </c>
    </row>
    <row r="1267" spans="1:5">
      <c r="A1267" s="1" t="str">
        <f>"外阴脓肿切开引流术"</f>
        <v>外阴脓肿切开引流术</v>
      </c>
      <c r="B1267" s="1">
        <v>284</v>
      </c>
      <c r="C1267" s="1" t="str">
        <f t="shared" si="391"/>
        <v>次</v>
      </c>
      <c r="D1267" s="1" t="str">
        <f t="shared" si="392"/>
        <v>次</v>
      </c>
      <c r="E1267" s="1" t="str">
        <f t="shared" si="389"/>
        <v>手术费</v>
      </c>
    </row>
    <row r="1268" spans="1:5">
      <c r="A1268" s="1" t="str">
        <f>"外阴良性肿物切除术"</f>
        <v>外阴良性肿物切除术</v>
      </c>
      <c r="B1268" s="1">
        <v>324</v>
      </c>
      <c r="C1268" s="1" t="str">
        <f t="shared" si="391"/>
        <v>次</v>
      </c>
      <c r="D1268" s="1" t="str">
        <f t="shared" si="392"/>
        <v>次</v>
      </c>
      <c r="E1268" s="1" t="str">
        <f t="shared" si="389"/>
        <v>手术费</v>
      </c>
    </row>
    <row r="1269" spans="1:5">
      <c r="A1269" s="1" t="str">
        <f>"前庭大腺囊肿造口术"</f>
        <v>前庭大腺囊肿造口术</v>
      </c>
      <c r="B1269" s="1">
        <v>216</v>
      </c>
      <c r="C1269" s="1" t="str">
        <f t="shared" si="391"/>
        <v>次</v>
      </c>
      <c r="D1269" s="1" t="str">
        <f t="shared" si="392"/>
        <v>次</v>
      </c>
      <c r="E1269" s="1" t="str">
        <f t="shared" si="389"/>
        <v>手术费</v>
      </c>
    </row>
    <row r="1270" spans="1:5">
      <c r="A1270" s="1" t="str">
        <f>"前庭大腺囊肿切除术"</f>
        <v>前庭大腺囊肿切除术</v>
      </c>
      <c r="B1270" s="1">
        <v>216</v>
      </c>
      <c r="C1270" s="1" t="str">
        <f t="shared" si="391"/>
        <v>次</v>
      </c>
      <c r="D1270" s="1" t="str">
        <f t="shared" si="392"/>
        <v>次</v>
      </c>
      <c r="E1270" s="1" t="str">
        <f t="shared" si="389"/>
        <v>手术费</v>
      </c>
    </row>
    <row r="1271" spans="1:5">
      <c r="A1271" s="1" t="str">
        <f>"医用固定带(腰围)"</f>
        <v>医用固定带(腰围)</v>
      </c>
      <c r="B1271" s="1">
        <v>123.5</v>
      </c>
      <c r="C1271" s="1" t="str">
        <f>"个"</f>
        <v>个</v>
      </c>
      <c r="D1271" s="1" t="str">
        <f>"个"</f>
        <v>个</v>
      </c>
      <c r="E1271" s="1" t="str">
        <f>"治疗费(含材料费)"</f>
        <v>治疗费(含材料费)</v>
      </c>
    </row>
    <row r="1272" spans="1:5">
      <c r="A1272" s="1" t="str">
        <f>"髂窝脓肿切开引流术"</f>
        <v>髂窝脓肿切开引流术</v>
      </c>
      <c r="B1272" s="1">
        <v>756</v>
      </c>
      <c r="C1272" s="1" t="str">
        <f t="shared" ref="C1272:C1274" si="393">"次"</f>
        <v>次</v>
      </c>
      <c r="D1272" s="1" t="str">
        <f t="shared" ref="D1272:D1281" si="394">"次"</f>
        <v>次</v>
      </c>
      <c r="E1272" s="1" t="str">
        <f t="shared" ref="E1272:E1296" si="395">"手术费"</f>
        <v>手术费</v>
      </c>
    </row>
    <row r="1273" spans="1:5">
      <c r="A1273" s="1" t="str">
        <f>"髂腰肌脓肿切开引流术"</f>
        <v>髂腰肌脓肿切开引流术</v>
      </c>
      <c r="B1273" s="1">
        <v>756</v>
      </c>
      <c r="C1273" s="1" t="str">
        <f t="shared" si="393"/>
        <v>次</v>
      </c>
      <c r="D1273" s="1" t="str">
        <f t="shared" si="394"/>
        <v>次</v>
      </c>
      <c r="E1273" s="1" t="str">
        <f t="shared" si="395"/>
        <v>手术费</v>
      </c>
    </row>
    <row r="1274" spans="1:5">
      <c r="A1274" s="1" t="str">
        <f>"胸腰椎骨折切开复位内固定术"</f>
        <v>胸腰椎骨折切开复位内固定术</v>
      </c>
      <c r="B1274" s="1">
        <v>2517</v>
      </c>
      <c r="C1274" s="1" t="str">
        <f t="shared" si="393"/>
        <v>次</v>
      </c>
      <c r="D1274" s="1" t="str">
        <f>"每节 椎骨"</f>
        <v>每节 椎骨</v>
      </c>
      <c r="E1274" s="1" t="str">
        <f t="shared" si="395"/>
        <v>手术费</v>
      </c>
    </row>
    <row r="1275" spans="1:5">
      <c r="A1275" s="1" t="str">
        <f>"经皮椎间盘胶原酶溶核术"</f>
        <v>经皮椎间盘胶原酶溶核术</v>
      </c>
      <c r="B1275" s="1">
        <v>1300</v>
      </c>
      <c r="C1275" s="1" t="str">
        <f>"每节椎间盘"</f>
        <v>每节椎间盘</v>
      </c>
      <c r="D1275" s="1" t="str">
        <f>"项"</f>
        <v>项</v>
      </c>
      <c r="E1275" s="1" t="str">
        <f t="shared" si="395"/>
        <v>手术费</v>
      </c>
    </row>
    <row r="1276" spans="1:5">
      <c r="A1276" s="1" t="str">
        <f>"经皮椎体成形术"</f>
        <v>经皮椎体成形术</v>
      </c>
      <c r="B1276" s="1">
        <v>1363</v>
      </c>
      <c r="C1276" s="1" t="str">
        <f t="shared" ref="C1276:C1279" si="396">"次"</f>
        <v>次</v>
      </c>
      <c r="D1276" s="1" t="str">
        <f t="shared" si="394"/>
        <v>次</v>
      </c>
      <c r="E1276" s="1" t="str">
        <f t="shared" si="395"/>
        <v>手术费</v>
      </c>
    </row>
    <row r="1277" spans="1:5">
      <c r="A1277" s="1" t="str">
        <f>"周围神经嵌压松解术"</f>
        <v>周围神经嵌压松解术</v>
      </c>
      <c r="B1277" s="1">
        <v>1400</v>
      </c>
      <c r="C1277" s="1" t="str">
        <f t="shared" si="396"/>
        <v>次</v>
      </c>
      <c r="D1277" s="1" t="str">
        <f t="shared" si="394"/>
        <v>次</v>
      </c>
      <c r="E1277" s="1" t="str">
        <f t="shared" si="395"/>
        <v>手术费</v>
      </c>
    </row>
    <row r="1278" spans="1:5">
      <c r="A1278" s="1" t="str">
        <f>"坐骨结节囊肿摘除术"</f>
        <v>坐骨结节囊肿摘除术</v>
      </c>
      <c r="B1278" s="1">
        <v>1080</v>
      </c>
      <c r="C1278" s="1" t="str">
        <f t="shared" si="396"/>
        <v>次</v>
      </c>
      <c r="D1278" s="1" t="str">
        <f t="shared" si="394"/>
        <v>次</v>
      </c>
      <c r="E1278" s="1" t="str">
        <f t="shared" si="395"/>
        <v>手术费</v>
      </c>
    </row>
    <row r="1279" spans="1:5">
      <c r="A1279" s="1" t="str">
        <f>"锁骨骨折切开复位内固定术"</f>
        <v>锁骨骨折切开复位内固定术</v>
      </c>
      <c r="B1279" s="1">
        <v>972</v>
      </c>
      <c r="C1279" s="1" t="str">
        <f t="shared" si="396"/>
        <v>次</v>
      </c>
      <c r="D1279" s="1" t="str">
        <f t="shared" si="394"/>
        <v>次</v>
      </c>
      <c r="E1279" s="1" t="str">
        <f t="shared" si="395"/>
        <v>手术费</v>
      </c>
    </row>
    <row r="1280" spans="1:5">
      <c r="A1280" s="1" t="str">
        <f>"胫骨髁间骨折切开复位内固定术"</f>
        <v>胫骨髁间骨折切开复位内固定术</v>
      </c>
      <c r="B1280" s="1">
        <v>1190</v>
      </c>
      <c r="C1280" s="1">
        <v>1</v>
      </c>
      <c r="D1280" s="1" t="str">
        <f t="shared" si="394"/>
        <v>次</v>
      </c>
      <c r="E1280" s="1" t="str">
        <f t="shared" si="395"/>
        <v>手术费</v>
      </c>
    </row>
    <row r="1281" spans="1:5">
      <c r="A1281" s="1" t="str">
        <f>"骨折内固定装置取出术"</f>
        <v>骨折内固定装置取出术</v>
      </c>
      <c r="B1281" s="1">
        <v>864</v>
      </c>
      <c r="C1281" s="1" t="str">
        <f t="shared" ref="C1281:C1286" si="397">"次"</f>
        <v>次</v>
      </c>
      <c r="D1281" s="1" t="str">
        <f t="shared" si="394"/>
        <v>次</v>
      </c>
      <c r="E1281" s="1" t="str">
        <f t="shared" si="395"/>
        <v>手术费</v>
      </c>
    </row>
    <row r="1282" spans="1:5">
      <c r="A1282" s="1" t="str">
        <f>"腓骨骨折切开内固定术"</f>
        <v>腓骨骨折切开内固定术</v>
      </c>
      <c r="B1282" s="1">
        <v>1080</v>
      </c>
      <c r="C1282" s="1">
        <v>1</v>
      </c>
      <c r="D1282" s="1" t="str">
        <f>"每次"</f>
        <v>每次</v>
      </c>
      <c r="E1282" s="1" t="str">
        <f t="shared" si="395"/>
        <v>手术费</v>
      </c>
    </row>
    <row r="1283" spans="1:5">
      <c r="A1283" s="1" t="str">
        <f>"手外伤推进皮瓣(V—Y)术双V—Y加收"</f>
        <v>手外伤推进皮瓣(V—Y)术双V—Y加收</v>
      </c>
      <c r="B1283" s="1">
        <v>150</v>
      </c>
      <c r="C1283" s="1" t="str">
        <f t="shared" si="397"/>
        <v>次</v>
      </c>
      <c r="D1283" s="1" t="str">
        <f t="shared" ref="D1283:D1294" si="398">"次"</f>
        <v>次</v>
      </c>
      <c r="E1283" s="1" t="str">
        <f t="shared" si="395"/>
        <v>手术费</v>
      </c>
    </row>
    <row r="1284" spans="1:5">
      <c r="A1284" s="1" t="str">
        <f>"手(脚)外伤清创术"</f>
        <v>手(脚)外伤清创术</v>
      </c>
      <c r="B1284" s="1">
        <v>162</v>
      </c>
      <c r="C1284" s="1">
        <v>1</v>
      </c>
      <c r="D1284" s="1" t="str">
        <f>"每指"</f>
        <v>每指</v>
      </c>
      <c r="E1284" s="1" t="str">
        <f t="shared" si="395"/>
        <v>手术费</v>
      </c>
    </row>
    <row r="1285" spans="1:5">
      <c r="A1285" s="1" t="str">
        <f>"手(脚)外伤清创术加收"</f>
        <v>手(脚)外伤清创术加收</v>
      </c>
      <c r="B1285" s="1">
        <v>150</v>
      </c>
      <c r="C1285" s="1" t="str">
        <f>"每指"</f>
        <v>每指</v>
      </c>
      <c r="D1285" s="1" t="str">
        <f>"每指"</f>
        <v>每指</v>
      </c>
      <c r="E1285" s="1" t="str">
        <f t="shared" si="395"/>
        <v>手术费</v>
      </c>
    </row>
    <row r="1286" spans="1:5">
      <c r="A1286" s="1" t="str">
        <f>"手外伤清创术手掌背、前臂者加收"</f>
        <v>手外伤清创术手掌背、前臂者加收</v>
      </c>
      <c r="B1286" s="1">
        <v>150</v>
      </c>
      <c r="C1286" s="1" t="str">
        <f t="shared" si="397"/>
        <v>次</v>
      </c>
      <c r="D1286" s="1" t="str">
        <f t="shared" si="398"/>
        <v>次</v>
      </c>
      <c r="E1286" s="1" t="str">
        <f t="shared" si="395"/>
        <v>手术费</v>
      </c>
    </row>
    <row r="1287" spans="1:5">
      <c r="A1287" s="1" t="str">
        <f>"缩窄性腱鞘膜炎切开术"</f>
        <v>缩窄性腱鞘膜炎切开术</v>
      </c>
      <c r="B1287" s="1">
        <v>540</v>
      </c>
      <c r="C1287" s="1">
        <v>1</v>
      </c>
      <c r="D1287" s="1" t="str">
        <f t="shared" si="398"/>
        <v>次</v>
      </c>
      <c r="E1287" s="1" t="str">
        <f t="shared" si="395"/>
        <v>手术费</v>
      </c>
    </row>
    <row r="1288" spans="1:5">
      <c r="A1288" s="1" t="str">
        <f>"腱鞘囊肿切除术"</f>
        <v>腱鞘囊肿切除术</v>
      </c>
      <c r="B1288" s="1">
        <v>432</v>
      </c>
      <c r="C1288" s="1" t="str">
        <f t="shared" ref="C1288:C1294" si="399">"次"</f>
        <v>次</v>
      </c>
      <c r="D1288" s="1" t="str">
        <f t="shared" si="398"/>
        <v>次</v>
      </c>
      <c r="E1288" s="1" t="str">
        <f t="shared" si="395"/>
        <v>手术费</v>
      </c>
    </row>
    <row r="1289" spans="1:5">
      <c r="A1289" s="1" t="str">
        <f>"手部皮肤撕脱伤修复术"</f>
        <v>手部皮肤撕脱伤修复术</v>
      </c>
      <c r="B1289" s="1">
        <v>648</v>
      </c>
      <c r="C1289" s="1" t="str">
        <f t="shared" si="399"/>
        <v>次</v>
      </c>
      <c r="D1289" s="1" t="str">
        <f t="shared" si="398"/>
        <v>次</v>
      </c>
      <c r="E1289" s="1" t="str">
        <f t="shared" si="395"/>
        <v>手术费</v>
      </c>
    </row>
    <row r="1290" spans="1:5">
      <c r="A1290" s="1" t="str">
        <f>"指蹼成形术"</f>
        <v>指蹼成形术</v>
      </c>
      <c r="B1290" s="1">
        <v>648</v>
      </c>
      <c r="C1290" s="1" t="str">
        <f t="shared" si="399"/>
        <v>次</v>
      </c>
      <c r="D1290" s="1" t="str">
        <f t="shared" si="398"/>
        <v>次</v>
      </c>
      <c r="E1290" s="1" t="str">
        <f t="shared" si="395"/>
        <v>手术费</v>
      </c>
    </row>
    <row r="1291" spans="1:5">
      <c r="A1291" s="1" t="str">
        <f>"甲床修补术"</f>
        <v>甲床修补术</v>
      </c>
      <c r="B1291" s="1">
        <v>284</v>
      </c>
      <c r="C1291" s="1" t="str">
        <f t="shared" si="399"/>
        <v>次</v>
      </c>
      <c r="D1291" s="1" t="str">
        <f t="shared" si="398"/>
        <v>次</v>
      </c>
      <c r="E1291" s="1" t="str">
        <f t="shared" si="395"/>
        <v>手术费</v>
      </c>
    </row>
    <row r="1292" spans="1:5">
      <c r="A1292" s="1" t="str">
        <f>"腕管综合症切开减压术"</f>
        <v>腕管综合症切开减压术</v>
      </c>
      <c r="B1292" s="1">
        <v>756</v>
      </c>
      <c r="C1292" s="1" t="str">
        <f t="shared" si="399"/>
        <v>次</v>
      </c>
      <c r="D1292" s="1" t="str">
        <f t="shared" si="398"/>
        <v>次</v>
      </c>
      <c r="E1292" s="1" t="str">
        <f t="shared" si="395"/>
        <v>手术费</v>
      </c>
    </row>
    <row r="1293" spans="1:5">
      <c r="A1293" s="1" t="str">
        <f>"手法牵引复位术"</f>
        <v>手法牵引复位术</v>
      </c>
      <c r="B1293" s="1">
        <v>108</v>
      </c>
      <c r="C1293" s="1" t="str">
        <f t="shared" si="399"/>
        <v>次</v>
      </c>
      <c r="D1293" s="1" t="str">
        <f t="shared" si="398"/>
        <v>次</v>
      </c>
      <c r="E1293" s="1" t="str">
        <f t="shared" si="395"/>
        <v>手术费</v>
      </c>
    </row>
    <row r="1294" spans="1:5">
      <c r="A1294" s="1" t="str">
        <f>"皮肤牵引术"</f>
        <v>皮肤牵引术</v>
      </c>
      <c r="B1294" s="1">
        <v>54</v>
      </c>
      <c r="C1294" s="1" t="str">
        <f t="shared" si="399"/>
        <v>次</v>
      </c>
      <c r="D1294" s="1" t="str">
        <f t="shared" si="398"/>
        <v>次</v>
      </c>
      <c r="E1294" s="1" t="str">
        <f t="shared" si="395"/>
        <v>手术费</v>
      </c>
    </row>
    <row r="1295" spans="1:5">
      <c r="A1295" s="1" t="str">
        <f>"皮肤牵引术以后持续牵引"</f>
        <v>皮肤牵引术以后持续牵引</v>
      </c>
      <c r="B1295" s="1">
        <v>11</v>
      </c>
      <c r="C1295" s="1" t="str">
        <f>"日"</f>
        <v>日</v>
      </c>
      <c r="D1295" s="1" t="str">
        <f>"日"</f>
        <v>日</v>
      </c>
      <c r="E1295" s="1" t="str">
        <f t="shared" si="395"/>
        <v>手术费</v>
      </c>
    </row>
    <row r="1296" spans="1:5">
      <c r="A1296" s="1" t="str">
        <f>"骨骼牵引术"</f>
        <v>骨骼牵引术</v>
      </c>
      <c r="B1296" s="1">
        <v>97</v>
      </c>
      <c r="C1296" s="1" t="str">
        <f t="shared" ref="C1296:C1301" si="400">"次"</f>
        <v>次</v>
      </c>
      <c r="D1296" s="1" t="str">
        <f t="shared" ref="D1296:D1301" si="401">"次"</f>
        <v>次</v>
      </c>
      <c r="E1296" s="1" t="str">
        <f t="shared" si="395"/>
        <v>手术费</v>
      </c>
    </row>
    <row r="1297" spans="1:5">
      <c r="A1297" s="1" t="str">
        <f>"骨髂牵引术（以后持续牵引）"</f>
        <v>骨髂牵引术（以后持续牵引）</v>
      </c>
      <c r="B1297" s="1">
        <v>11</v>
      </c>
      <c r="C1297" s="1" t="str">
        <f>"日"</f>
        <v>日</v>
      </c>
      <c r="D1297" s="1" t="str">
        <f>"日"</f>
        <v>日</v>
      </c>
      <c r="E1297" s="1" t="str">
        <f>"治疗费"</f>
        <v>治疗费</v>
      </c>
    </row>
    <row r="1298" spans="1:5">
      <c r="A1298" s="1" t="str">
        <f>"石膏固定术(特大)"</f>
        <v>石膏固定术(特大)</v>
      </c>
      <c r="B1298" s="1">
        <v>162</v>
      </c>
      <c r="C1298" s="1" t="str">
        <f t="shared" si="400"/>
        <v>次</v>
      </c>
      <c r="D1298" s="1" t="str">
        <f t="shared" si="401"/>
        <v>次</v>
      </c>
      <c r="E1298" s="1" t="str">
        <f t="shared" ref="E1298:E1301" si="402">"手术费"</f>
        <v>手术费</v>
      </c>
    </row>
    <row r="1299" spans="1:5">
      <c r="A1299" s="1" t="str">
        <f>"石膏固定术(大)"</f>
        <v>石膏固定术(大)</v>
      </c>
      <c r="B1299" s="1">
        <v>108</v>
      </c>
      <c r="C1299" s="1" t="str">
        <f t="shared" si="400"/>
        <v>次</v>
      </c>
      <c r="D1299" s="1" t="str">
        <f t="shared" si="401"/>
        <v>次</v>
      </c>
      <c r="E1299" s="1" t="str">
        <f t="shared" si="402"/>
        <v>手术费</v>
      </c>
    </row>
    <row r="1300" spans="1:5">
      <c r="A1300" s="1" t="str">
        <f>"石膏固定术(小)"</f>
        <v>石膏固定术(小)</v>
      </c>
      <c r="B1300" s="1">
        <v>43</v>
      </c>
      <c r="C1300" s="1" t="str">
        <f t="shared" si="400"/>
        <v>次</v>
      </c>
      <c r="D1300" s="1" t="str">
        <f t="shared" si="401"/>
        <v>次</v>
      </c>
      <c r="E1300" s="1" t="str">
        <f t="shared" si="402"/>
        <v>手术费</v>
      </c>
    </row>
    <row r="1301" spans="1:5">
      <c r="A1301" s="1" t="str">
        <f>"石膏拆除术"</f>
        <v>石膏拆除术</v>
      </c>
      <c r="B1301" s="1">
        <v>22</v>
      </c>
      <c r="C1301" s="1" t="str">
        <f t="shared" si="400"/>
        <v>次</v>
      </c>
      <c r="D1301" s="1" t="str">
        <f t="shared" si="401"/>
        <v>次</v>
      </c>
      <c r="E1301" s="1" t="str">
        <f t="shared" si="402"/>
        <v>手术费</v>
      </c>
    </row>
    <row r="1302" spans="1:5">
      <c r="A1302" s="1" t="str">
        <f>"各部位多头带包扎术"</f>
        <v>各部位多头带包扎术</v>
      </c>
      <c r="B1302" s="1">
        <v>27</v>
      </c>
      <c r="C1302" s="1" t="str">
        <f>"每个部位"</f>
        <v>每个部位</v>
      </c>
      <c r="D1302" s="1" t="str">
        <f>"每个部位"</f>
        <v>每个部位</v>
      </c>
      <c r="E1302" s="1" t="str">
        <f>"治疗费"</f>
        <v>治疗费</v>
      </c>
    </row>
    <row r="1303" spans="1:5">
      <c r="A1303" s="1" t="str">
        <f>"乳腺肿物切除术"</f>
        <v>乳腺肿物切除术</v>
      </c>
      <c r="B1303" s="1">
        <v>324</v>
      </c>
      <c r="C1303" s="1" t="str">
        <f>"单侧"</f>
        <v>单侧</v>
      </c>
      <c r="D1303" s="1" t="str">
        <f>"单侧"</f>
        <v>单侧</v>
      </c>
      <c r="E1303" s="1" t="str">
        <f t="shared" ref="E1303:E1309" si="403">"手术费"</f>
        <v>手术费</v>
      </c>
    </row>
    <row r="1304" spans="1:5">
      <c r="A1304" s="1" t="str">
        <f>"乳头乳晕整形术"</f>
        <v>乳头乳晕整形术</v>
      </c>
      <c r="B1304" s="1">
        <v>845</v>
      </c>
      <c r="C1304" s="1" t="str">
        <f>"单侧"</f>
        <v>单侧</v>
      </c>
      <c r="D1304" s="1" t="str">
        <f>"单侧"</f>
        <v>单侧</v>
      </c>
      <c r="E1304" s="1" t="str">
        <f t="shared" si="403"/>
        <v>手术费</v>
      </c>
    </row>
    <row r="1305" spans="1:5">
      <c r="A1305" s="1" t="str">
        <f>"脓肿切开引流术"</f>
        <v>脓肿切开引流术</v>
      </c>
      <c r="B1305" s="1">
        <v>108</v>
      </c>
      <c r="C1305" s="1" t="str">
        <f t="shared" ref="C1305:C1317" si="404">"次"</f>
        <v>次</v>
      </c>
      <c r="D1305" s="1" t="str">
        <f>"次"</f>
        <v>次</v>
      </c>
      <c r="E1305" s="1" t="str">
        <f t="shared" si="403"/>
        <v>手术费</v>
      </c>
    </row>
    <row r="1306" spans="1:5">
      <c r="A1306" s="1" t="str">
        <f>"体表异物取出术"</f>
        <v>体表异物取出术</v>
      </c>
      <c r="B1306" s="1">
        <v>120</v>
      </c>
      <c r="C1306" s="1" t="str">
        <f t="shared" si="404"/>
        <v>次</v>
      </c>
      <c r="D1306" s="1" t="str">
        <f>"次"</f>
        <v>次</v>
      </c>
      <c r="E1306" s="1" t="str">
        <f t="shared" si="403"/>
        <v>手术费</v>
      </c>
    </row>
    <row r="1307" spans="1:5">
      <c r="A1307" s="1" t="str">
        <f>"胼胝病变切除修复术"</f>
        <v>胼胝病变切除修复术</v>
      </c>
      <c r="B1307" s="1">
        <v>113</v>
      </c>
      <c r="C1307" s="1" t="str">
        <f t="shared" si="404"/>
        <v>次</v>
      </c>
      <c r="D1307" s="1" t="str">
        <f>"每处 病变"</f>
        <v>每处 病变</v>
      </c>
      <c r="E1307" s="1" t="str">
        <f t="shared" si="403"/>
        <v>手术费</v>
      </c>
    </row>
    <row r="1308" spans="1:5">
      <c r="A1308" s="1" t="str">
        <f>"浅表肿物切除术"</f>
        <v>浅表肿物切除术</v>
      </c>
      <c r="B1308" s="1">
        <v>120</v>
      </c>
      <c r="C1308" s="1" t="str">
        <f t="shared" si="404"/>
        <v>次</v>
      </c>
      <c r="D1308" s="1" t="str">
        <f t="shared" ref="D1308:D1313" si="405">"每个 肿物"</f>
        <v>每个 肿物</v>
      </c>
      <c r="E1308" s="1" t="str">
        <f t="shared" si="403"/>
        <v>手术费</v>
      </c>
    </row>
    <row r="1309" spans="1:5">
      <c r="A1309" s="1" t="str">
        <f>"脂肪瘤切除术"</f>
        <v>脂肪瘤切除术</v>
      </c>
      <c r="B1309" s="1">
        <v>108</v>
      </c>
      <c r="C1309" s="1" t="str">
        <f t="shared" si="404"/>
        <v>次</v>
      </c>
      <c r="D1309" s="1" t="str">
        <f t="shared" si="405"/>
        <v>每个 肿物</v>
      </c>
      <c r="E1309" s="1" t="str">
        <f t="shared" si="403"/>
        <v>手术费</v>
      </c>
    </row>
    <row r="1310" spans="1:5">
      <c r="A1310" s="1" t="str">
        <f>"皮脂腺囊肿切除术"</f>
        <v>皮脂腺囊肿切除术</v>
      </c>
      <c r="B1310" s="1">
        <v>108</v>
      </c>
      <c r="C1310" s="1" t="str">
        <f t="shared" si="404"/>
        <v>次</v>
      </c>
      <c r="D1310" s="1" t="str">
        <f t="shared" si="405"/>
        <v>每个 肿物</v>
      </c>
      <c r="E1310" s="1" t="str">
        <f>"手术治疗费"</f>
        <v>手术治疗费</v>
      </c>
    </row>
    <row r="1311" spans="1:5">
      <c r="A1311" s="1" t="str">
        <f>"纤维瘤切除术"</f>
        <v>纤维瘤切除术</v>
      </c>
      <c r="B1311" s="1">
        <v>108</v>
      </c>
      <c r="C1311" s="1" t="str">
        <f t="shared" si="404"/>
        <v>次</v>
      </c>
      <c r="D1311" s="1" t="str">
        <f t="shared" si="405"/>
        <v>每个 肿物</v>
      </c>
      <c r="E1311" s="1" t="str">
        <f t="shared" ref="E1311:E1320" si="406">"手术费"</f>
        <v>手术费</v>
      </c>
    </row>
    <row r="1312" spans="1:5">
      <c r="A1312" s="1" t="str">
        <f>"疣切除术"</f>
        <v>疣切除术</v>
      </c>
      <c r="B1312" s="1">
        <v>108</v>
      </c>
      <c r="C1312" s="1" t="str">
        <f t="shared" si="404"/>
        <v>次</v>
      </c>
      <c r="D1312" s="1" t="str">
        <f t="shared" si="405"/>
        <v>每个 肿物</v>
      </c>
      <c r="E1312" s="1" t="str">
        <f t="shared" si="406"/>
        <v>手术费</v>
      </c>
    </row>
    <row r="1313" spans="1:5">
      <c r="A1313" s="1" t="str">
        <f>"痣切除术"</f>
        <v>痣切除术</v>
      </c>
      <c r="B1313" s="1">
        <v>108</v>
      </c>
      <c r="C1313" s="1" t="str">
        <f t="shared" si="404"/>
        <v>次</v>
      </c>
      <c r="D1313" s="1" t="str">
        <f t="shared" si="405"/>
        <v>每个 肿物</v>
      </c>
      <c r="E1313" s="1" t="str">
        <f t="shared" si="406"/>
        <v>手术费</v>
      </c>
    </row>
    <row r="1314" spans="1:5">
      <c r="A1314" s="1" t="str">
        <f>"浅表肿物切除术激光手术加收"</f>
        <v>浅表肿物切除术激光手术加收</v>
      </c>
      <c r="B1314" s="1">
        <v>30</v>
      </c>
      <c r="C1314" s="1" t="str">
        <f t="shared" si="404"/>
        <v>次</v>
      </c>
      <c r="D1314" s="1" t="str">
        <f t="shared" ref="D1314:D1317" si="407">"次"</f>
        <v>次</v>
      </c>
      <c r="E1314" s="1" t="str">
        <f t="shared" si="406"/>
        <v>手术费</v>
      </c>
    </row>
    <row r="1315" spans="1:5">
      <c r="A1315" s="1" t="str">
        <f>"深部肿物切除术"</f>
        <v>深部肿物切除术</v>
      </c>
      <c r="B1315" s="1">
        <v>605</v>
      </c>
      <c r="C1315" s="1" t="str">
        <f t="shared" si="404"/>
        <v>次</v>
      </c>
      <c r="D1315" s="1" t="str">
        <f>"每个 肿物"</f>
        <v>每个 肿物</v>
      </c>
      <c r="E1315" s="1" t="str">
        <f t="shared" si="406"/>
        <v>手术费</v>
      </c>
    </row>
    <row r="1316" spans="1:5">
      <c r="A1316" s="1" t="str">
        <f>"头皮撕脱清创修复术"</f>
        <v>头皮撕脱清创修复术</v>
      </c>
      <c r="B1316" s="1">
        <v>725</v>
      </c>
      <c r="C1316" s="1" t="str">
        <f t="shared" si="404"/>
        <v>次</v>
      </c>
      <c r="D1316" s="1" t="str">
        <f t="shared" si="407"/>
        <v>次</v>
      </c>
      <c r="E1316" s="1" t="str">
        <f t="shared" si="406"/>
        <v>手术费</v>
      </c>
    </row>
    <row r="1317" spans="1:5">
      <c r="A1317" s="1" t="str">
        <f>"头皮缺损修复术"</f>
        <v>头皮缺损修复术</v>
      </c>
      <c r="B1317" s="1">
        <v>756</v>
      </c>
      <c r="C1317" s="1" t="str">
        <f t="shared" si="404"/>
        <v>次</v>
      </c>
      <c r="D1317" s="1" t="str">
        <f t="shared" si="407"/>
        <v>次</v>
      </c>
      <c r="E1317" s="1" t="str">
        <f t="shared" si="406"/>
        <v>手术费</v>
      </c>
    </row>
    <row r="1318" spans="1:5">
      <c r="A1318" s="1" t="str">
        <f>"腋臭切除术"</f>
        <v>腋臭切除术</v>
      </c>
      <c r="B1318" s="1">
        <v>310</v>
      </c>
      <c r="C1318" s="1" t="str">
        <f>"单侧"</f>
        <v>单侧</v>
      </c>
      <c r="D1318" s="1" t="str">
        <f>"单侧"</f>
        <v>单侧</v>
      </c>
      <c r="E1318" s="1" t="str">
        <f t="shared" si="406"/>
        <v>手术费</v>
      </c>
    </row>
    <row r="1319" spans="1:5">
      <c r="A1319" s="1" t="str">
        <f>"皮肤恶性肿瘤切除术(小）"</f>
        <v>皮肤恶性肿瘤切除术(小）</v>
      </c>
      <c r="B1319" s="1">
        <v>710</v>
      </c>
      <c r="C1319" s="1" t="str">
        <f>"次"</f>
        <v>次</v>
      </c>
      <c r="D1319" s="1" t="str">
        <f>"次"</f>
        <v>次</v>
      </c>
      <c r="E1319" s="1" t="str">
        <f t="shared" si="406"/>
        <v>手术费</v>
      </c>
    </row>
    <row r="1320" spans="1:5">
      <c r="A1320" s="1" t="str">
        <f>"切开排毒"</f>
        <v>切开排毒</v>
      </c>
      <c r="B1320" s="1">
        <v>85</v>
      </c>
      <c r="C1320" s="1" t="str">
        <f>"次"</f>
        <v>次</v>
      </c>
      <c r="D1320" s="1" t="str">
        <f>"次"</f>
        <v>次</v>
      </c>
      <c r="E1320" s="1" t="str">
        <f t="shared" si="406"/>
        <v>手术费</v>
      </c>
    </row>
    <row r="1321" spans="1:5">
      <c r="A1321" s="1" t="str">
        <f>"切痂术"</f>
        <v>切痂术</v>
      </c>
      <c r="B1321" s="1">
        <v>215</v>
      </c>
      <c r="C1321" s="1" t="str">
        <f>"次"</f>
        <v>次</v>
      </c>
      <c r="D1321" s="1" t="str">
        <f>"1%体表面"</f>
        <v>1%体表面</v>
      </c>
      <c r="E1321" s="1" t="str">
        <f t="shared" ref="E1321:E1324" si="408">"手术费"</f>
        <v>手术费</v>
      </c>
    </row>
    <row r="1322" spans="1:5">
      <c r="A1322" s="1" t="str">
        <f>"削痂术"</f>
        <v>削痂术</v>
      </c>
      <c r="B1322" s="1">
        <v>215</v>
      </c>
      <c r="C1322" s="1" t="str">
        <f>"次"</f>
        <v>次</v>
      </c>
      <c r="D1322" s="1" t="str">
        <f>"1%体表面"</f>
        <v>1%体表面</v>
      </c>
      <c r="E1322" s="1" t="str">
        <f t="shared" si="408"/>
        <v>手术费</v>
      </c>
    </row>
    <row r="1323" spans="1:5">
      <c r="A1323" s="1" t="str">
        <f>"面部外伤清创整形术"</f>
        <v>面部外伤清创整形术</v>
      </c>
      <c r="B1323" s="1">
        <v>545</v>
      </c>
      <c r="C1323" s="1" t="str">
        <f>"次"</f>
        <v>次</v>
      </c>
      <c r="D1323" s="1" t="str">
        <f>"次"</f>
        <v>次</v>
      </c>
      <c r="E1323" s="1" t="str">
        <f t="shared" si="408"/>
        <v>手术费</v>
      </c>
    </row>
    <row r="1324" spans="1:5">
      <c r="A1324" s="1" t="str">
        <f>"指甲成形术"</f>
        <v>指甲成形术</v>
      </c>
      <c r="B1324" s="1">
        <v>395</v>
      </c>
      <c r="C1324" s="1" t="str">
        <f>"每指"</f>
        <v>每指</v>
      </c>
      <c r="D1324" s="1" t="str">
        <f>"每指"</f>
        <v>每指</v>
      </c>
      <c r="E1324" s="1" t="str">
        <f t="shared" si="408"/>
        <v>手术费</v>
      </c>
    </row>
    <row r="1325" spans="1:5">
      <c r="A1325" s="1" t="str">
        <f>"任意皮瓣形成术"</f>
        <v>任意皮瓣形成术</v>
      </c>
      <c r="B1325" s="1">
        <v>545</v>
      </c>
      <c r="C1325" s="1" t="str">
        <f>"项"</f>
        <v>项</v>
      </c>
      <c r="D1325" s="1" t="str">
        <f>"每个部位"</f>
        <v>每个部位</v>
      </c>
      <c r="E1325" s="1" t="str">
        <f t="shared" ref="E1325:E1347" si="409">"治疗费"</f>
        <v>治疗费</v>
      </c>
    </row>
    <row r="1326" spans="1:5">
      <c r="A1326" s="1" t="str">
        <f>"疤痕松解术"</f>
        <v>疤痕松解术</v>
      </c>
      <c r="B1326" s="1">
        <v>360</v>
      </c>
      <c r="C1326" s="1" t="str">
        <f t="shared" ref="C1326:C1333" si="410">"次"</f>
        <v>次</v>
      </c>
      <c r="D1326" s="1" t="str">
        <f t="shared" ref="D1326:D1332" si="411">"次"</f>
        <v>次</v>
      </c>
      <c r="E1326" s="1" t="str">
        <f>"手术费"</f>
        <v>手术费</v>
      </c>
    </row>
    <row r="1327" spans="1:5">
      <c r="A1327" s="1" t="str">
        <f>"经皮胸腔引流术"</f>
        <v>经皮胸腔引流术</v>
      </c>
      <c r="B1327" s="1">
        <v>1200</v>
      </c>
      <c r="C1327" s="1" t="str">
        <f t="shared" si="410"/>
        <v>次</v>
      </c>
      <c r="D1327" s="1" t="str">
        <f t="shared" si="411"/>
        <v>次</v>
      </c>
      <c r="E1327" s="1" t="str">
        <f>"手术费"</f>
        <v>手术费</v>
      </c>
    </row>
    <row r="1328" spans="1:5">
      <c r="A1328" s="1" t="str">
        <f>"红外线治疗"</f>
        <v>红外线治疗</v>
      </c>
      <c r="B1328" s="1">
        <v>5</v>
      </c>
      <c r="C1328" s="1" t="str">
        <f t="shared" si="410"/>
        <v>次</v>
      </c>
      <c r="D1328" s="1" t="str">
        <f>"每部位"</f>
        <v>每部位</v>
      </c>
      <c r="E1328" s="1" t="str">
        <f t="shared" si="409"/>
        <v>治疗费</v>
      </c>
    </row>
    <row r="1329" spans="1:5">
      <c r="A1329" s="1" t="str">
        <f>"红外线治疗（TDP）"</f>
        <v>红外线治疗（TDP）</v>
      </c>
      <c r="B1329" s="1">
        <v>5</v>
      </c>
      <c r="C1329" s="1" t="str">
        <f t="shared" si="410"/>
        <v>次</v>
      </c>
      <c r="D1329" s="1" t="str">
        <f t="shared" si="411"/>
        <v>次</v>
      </c>
      <c r="E1329" s="1" t="str">
        <f>"理疗费"</f>
        <v>理疗费</v>
      </c>
    </row>
    <row r="1330" spans="1:5">
      <c r="A1330" s="1" t="str">
        <f>"可见光治疗"</f>
        <v>可见光治疗</v>
      </c>
      <c r="B1330" s="1">
        <v>5</v>
      </c>
      <c r="C1330" s="1" t="str">
        <f t="shared" si="410"/>
        <v>次</v>
      </c>
      <c r="D1330" s="1" t="str">
        <f t="shared" si="411"/>
        <v>次</v>
      </c>
      <c r="E1330" s="1" t="str">
        <f t="shared" si="409"/>
        <v>治疗费</v>
      </c>
    </row>
    <row r="1331" spans="1:5">
      <c r="A1331" s="1" t="str">
        <f>"偏振光照射"</f>
        <v>偏振光照射</v>
      </c>
      <c r="B1331" s="1">
        <v>8</v>
      </c>
      <c r="C1331" s="1" t="str">
        <f t="shared" si="410"/>
        <v>次</v>
      </c>
      <c r="D1331" s="1" t="str">
        <f t="shared" si="411"/>
        <v>次</v>
      </c>
      <c r="E1331" s="1" t="str">
        <f t="shared" si="409"/>
        <v>治疗费</v>
      </c>
    </row>
    <row r="1332" spans="1:5">
      <c r="A1332" s="1" t="str">
        <f>"紫外线治疗"</f>
        <v>紫外线治疗</v>
      </c>
      <c r="B1332" s="1">
        <v>8</v>
      </c>
      <c r="C1332" s="1" t="str">
        <f t="shared" si="410"/>
        <v>次</v>
      </c>
      <c r="D1332" s="1" t="str">
        <f t="shared" si="411"/>
        <v>次</v>
      </c>
      <c r="E1332" s="1" t="str">
        <f t="shared" si="409"/>
        <v>治疗费</v>
      </c>
    </row>
    <row r="1333" spans="1:5">
      <c r="A1333" s="1" t="str">
        <f>"激光疗法"</f>
        <v>激光疗法</v>
      </c>
      <c r="B1333" s="1">
        <v>10</v>
      </c>
      <c r="C1333" s="1" t="str">
        <f t="shared" si="410"/>
        <v>次</v>
      </c>
      <c r="D1333" s="1" t="str">
        <f t="shared" ref="D1333:D1337" si="412">"每部位"</f>
        <v>每部位</v>
      </c>
      <c r="E1333" s="1" t="str">
        <f t="shared" si="409"/>
        <v>治疗费</v>
      </c>
    </row>
    <row r="1334" spans="1:5">
      <c r="A1334" s="1" t="str">
        <f>"电诊断"</f>
        <v>电诊断</v>
      </c>
      <c r="B1334" s="1">
        <v>15</v>
      </c>
      <c r="C1334" s="1" t="str">
        <f>"根"</f>
        <v>根</v>
      </c>
      <c r="D1334" s="1" t="str">
        <f>"每根"</f>
        <v>每根</v>
      </c>
      <c r="E1334" s="1" t="str">
        <f t="shared" si="409"/>
        <v>治疗费</v>
      </c>
    </row>
    <row r="1335" spans="1:5">
      <c r="A1335" s="1" t="str">
        <f>"直流电治疗"</f>
        <v>直流电治疗</v>
      </c>
      <c r="B1335" s="1">
        <v>8</v>
      </c>
      <c r="C1335" s="1" t="str">
        <f>"每部位"</f>
        <v>每部位</v>
      </c>
      <c r="D1335" s="1" t="str">
        <f t="shared" si="412"/>
        <v>每部位</v>
      </c>
      <c r="E1335" s="1" t="str">
        <f t="shared" si="409"/>
        <v>治疗费</v>
      </c>
    </row>
    <row r="1336" spans="1:5">
      <c r="A1336" s="1" t="str">
        <f>"低频脉冲功能性电刺激治疗"</f>
        <v>低频脉冲功能性电刺激治疗</v>
      </c>
      <c r="B1336" s="1">
        <v>8</v>
      </c>
      <c r="C1336" s="1" t="str">
        <f>"每部位"</f>
        <v>每部位</v>
      </c>
      <c r="D1336" s="1" t="str">
        <f t="shared" si="412"/>
        <v>每部位</v>
      </c>
      <c r="E1336" s="1" t="str">
        <f t="shared" si="409"/>
        <v>治疗费</v>
      </c>
    </row>
    <row r="1337" spans="1:5">
      <c r="A1337" s="1" t="str">
        <f>"低频脉冲电治疗"</f>
        <v>低频脉冲电治疗</v>
      </c>
      <c r="B1337" s="1">
        <v>8</v>
      </c>
      <c r="C1337" s="1" t="str">
        <f t="shared" ref="C1337:C1341" si="413">"次"</f>
        <v>次</v>
      </c>
      <c r="D1337" s="1" t="str">
        <f t="shared" si="412"/>
        <v>每部位</v>
      </c>
      <c r="E1337" s="1" t="str">
        <f t="shared" si="409"/>
        <v>治疗费</v>
      </c>
    </row>
    <row r="1338" spans="1:5">
      <c r="A1338" s="1" t="str">
        <f>"低周波治疗"</f>
        <v>低周波治疗</v>
      </c>
      <c r="B1338" s="1">
        <v>11</v>
      </c>
      <c r="C1338" s="1" t="str">
        <f t="shared" si="413"/>
        <v>次</v>
      </c>
      <c r="D1338" s="1" t="str">
        <f>"次"</f>
        <v>次</v>
      </c>
      <c r="E1338" s="1" t="str">
        <f t="shared" si="409"/>
        <v>治疗费</v>
      </c>
    </row>
    <row r="1339" spans="1:5">
      <c r="A1339" s="1" t="str">
        <f>"中频脉冲电治疗"</f>
        <v>中频脉冲电治疗</v>
      </c>
      <c r="B1339" s="1">
        <v>8</v>
      </c>
      <c r="C1339" s="1" t="str">
        <f t="shared" ref="C1339:C1342" si="414">"部位"</f>
        <v>部位</v>
      </c>
      <c r="D1339" s="1" t="str">
        <f t="shared" ref="D1339:D1343" si="415">"每部位"</f>
        <v>每部位</v>
      </c>
      <c r="E1339" s="1" t="str">
        <f t="shared" si="409"/>
        <v>治疗费</v>
      </c>
    </row>
    <row r="1340" spans="1:5">
      <c r="A1340" s="1" t="str">
        <f>"干扰电治疗"</f>
        <v>干扰电治疗</v>
      </c>
      <c r="B1340" s="1">
        <v>8</v>
      </c>
      <c r="C1340" s="1" t="str">
        <f t="shared" si="414"/>
        <v>部位</v>
      </c>
      <c r="D1340" s="1" t="str">
        <f t="shared" si="415"/>
        <v>每部位</v>
      </c>
      <c r="E1340" s="1" t="str">
        <f t="shared" si="409"/>
        <v>治疗费</v>
      </c>
    </row>
    <row r="1341" spans="1:5">
      <c r="A1341" s="1" t="str">
        <f>"共鸣火花治疗"</f>
        <v>共鸣火花治疗</v>
      </c>
      <c r="B1341" s="1">
        <v>5</v>
      </c>
      <c r="C1341" s="1" t="str">
        <f t="shared" si="413"/>
        <v>次</v>
      </c>
      <c r="D1341" s="1" t="str">
        <f t="shared" ref="D1341:D1346" si="416">"次"</f>
        <v>次</v>
      </c>
      <c r="E1341" s="1" t="str">
        <f t="shared" si="409"/>
        <v>治疗费</v>
      </c>
    </row>
    <row r="1342" spans="1:5">
      <c r="A1342" s="1" t="str">
        <f>"超短波治疗"</f>
        <v>超短波治疗</v>
      </c>
      <c r="B1342" s="1">
        <v>8</v>
      </c>
      <c r="C1342" s="1" t="str">
        <f t="shared" si="414"/>
        <v>部位</v>
      </c>
      <c r="D1342" s="1" t="str">
        <f>"每个 部位"</f>
        <v>每个 部位</v>
      </c>
      <c r="E1342" s="1" t="str">
        <f t="shared" si="409"/>
        <v>治疗费</v>
      </c>
    </row>
    <row r="1343" spans="1:5">
      <c r="A1343" s="1" t="str">
        <f>"微波治疗"</f>
        <v>微波治疗</v>
      </c>
      <c r="B1343" s="1">
        <v>10</v>
      </c>
      <c r="C1343" s="1" t="str">
        <f>"每部位"</f>
        <v>每部位</v>
      </c>
      <c r="D1343" s="1" t="str">
        <f t="shared" si="415"/>
        <v>每部位</v>
      </c>
      <c r="E1343" s="1" t="str">
        <f t="shared" si="409"/>
        <v>治疗费</v>
      </c>
    </row>
    <row r="1344" spans="1:5">
      <c r="A1344" s="1" t="str">
        <f>"射频电疗"</f>
        <v>射频电疗</v>
      </c>
      <c r="B1344" s="1">
        <v>30</v>
      </c>
      <c r="C1344" s="1" t="str">
        <f t="shared" ref="C1344:C1352" si="417">"次"</f>
        <v>次</v>
      </c>
      <c r="D1344" s="1" t="str">
        <f t="shared" si="416"/>
        <v>次</v>
      </c>
      <c r="E1344" s="1" t="str">
        <f t="shared" si="409"/>
        <v>治疗费</v>
      </c>
    </row>
    <row r="1345" spans="1:5">
      <c r="A1345" s="1" t="str">
        <f>"静电治疗"</f>
        <v>静电治疗</v>
      </c>
      <c r="B1345" s="1">
        <v>20</v>
      </c>
      <c r="C1345" s="1" t="str">
        <f>"半小时"</f>
        <v>半小时</v>
      </c>
      <c r="D1345" s="1" t="str">
        <f>"半小时"</f>
        <v>半小时</v>
      </c>
      <c r="E1345" s="1" t="str">
        <f t="shared" si="409"/>
        <v>治疗费</v>
      </c>
    </row>
    <row r="1346" spans="1:5">
      <c r="A1346" s="1" t="str">
        <f>"空气负离子治疗"</f>
        <v>空气负离子治疗</v>
      </c>
      <c r="B1346" s="1">
        <v>3</v>
      </c>
      <c r="C1346" s="1" t="str">
        <f t="shared" si="417"/>
        <v>次</v>
      </c>
      <c r="D1346" s="1" t="str">
        <f t="shared" si="416"/>
        <v>次</v>
      </c>
      <c r="E1346" s="1" t="str">
        <f t="shared" si="409"/>
        <v>治疗费</v>
      </c>
    </row>
    <row r="1347" spans="1:5">
      <c r="A1347" s="1" t="str">
        <f>"超声波治疗"</f>
        <v>超声波治疗</v>
      </c>
      <c r="B1347" s="1">
        <v>12</v>
      </c>
      <c r="C1347" s="1" t="str">
        <f t="shared" si="417"/>
        <v>次</v>
      </c>
      <c r="D1347" s="1" t="str">
        <f t="shared" ref="D1347:D1349" si="418">"每5分钟"</f>
        <v>每5分钟</v>
      </c>
      <c r="E1347" s="1" t="str">
        <f t="shared" si="409"/>
        <v>治疗费</v>
      </c>
    </row>
    <row r="1348" spans="1:5">
      <c r="A1348" s="1" t="str">
        <f>"超声雾化治疗"</f>
        <v>超声雾化治疗</v>
      </c>
      <c r="B1348" s="1">
        <v>10</v>
      </c>
      <c r="C1348" s="1" t="str">
        <f t="shared" si="417"/>
        <v>次</v>
      </c>
      <c r="D1348" s="1" t="str">
        <f t="shared" si="418"/>
        <v>每5分钟</v>
      </c>
      <c r="E1348" s="1" t="str">
        <f>"治疗费(含材料费)"</f>
        <v>治疗费(含材料费)</v>
      </c>
    </row>
    <row r="1349" spans="1:5">
      <c r="A1349" s="1" t="str">
        <f>"超声波治疗联合治疗加收（每5分钟）"</f>
        <v>超声波治疗联合治疗加收（每5分钟）</v>
      </c>
      <c r="B1349" s="1">
        <v>5</v>
      </c>
      <c r="C1349" s="1" t="str">
        <f t="shared" si="417"/>
        <v>次</v>
      </c>
      <c r="D1349" s="1" t="str">
        <f t="shared" si="418"/>
        <v>每5分钟</v>
      </c>
      <c r="E1349" s="1" t="str">
        <f t="shared" ref="E1349:E1358" si="419">"治疗费"</f>
        <v>治疗费</v>
      </c>
    </row>
    <row r="1350" spans="1:5">
      <c r="A1350" s="1" t="str">
        <f>"电子生物反馈疗法"</f>
        <v>电子生物反馈疗法</v>
      </c>
      <c r="B1350" s="1">
        <v>20</v>
      </c>
      <c r="C1350" s="1" t="str">
        <f t="shared" si="417"/>
        <v>次</v>
      </c>
      <c r="D1350" s="1" t="str">
        <f t="shared" ref="D1350:D1353" si="420">"次"</f>
        <v>次</v>
      </c>
      <c r="E1350" s="1" t="str">
        <f t="shared" si="419"/>
        <v>治疗费</v>
      </c>
    </row>
    <row r="1351" spans="1:5">
      <c r="A1351" s="1" t="str">
        <f>"电子生物反馈疗法（脑电）"</f>
        <v>电子生物反馈疗法（脑电）</v>
      </c>
      <c r="B1351" s="1">
        <v>20</v>
      </c>
      <c r="C1351" s="1" t="str">
        <f t="shared" si="417"/>
        <v>次</v>
      </c>
      <c r="D1351" s="1" t="str">
        <f t="shared" si="420"/>
        <v>次</v>
      </c>
      <c r="E1351" s="1" t="str">
        <f>"理疗费"</f>
        <v>理疗费</v>
      </c>
    </row>
    <row r="1352" spans="1:5">
      <c r="A1352" s="1" t="str">
        <f>"磁疗"</f>
        <v>磁疗</v>
      </c>
      <c r="B1352" s="1">
        <v>8</v>
      </c>
      <c r="C1352" s="1" t="str">
        <f t="shared" si="417"/>
        <v>次</v>
      </c>
      <c r="D1352" s="1" t="str">
        <f t="shared" si="420"/>
        <v>次</v>
      </c>
      <c r="E1352" s="1" t="str">
        <f t="shared" si="419"/>
        <v>治疗费</v>
      </c>
    </row>
    <row r="1353" spans="1:5">
      <c r="A1353" s="1" t="str">
        <f>"气泡浴治疗"</f>
        <v>气泡浴治疗</v>
      </c>
      <c r="B1353" s="1">
        <v>15</v>
      </c>
      <c r="C1353" s="1" t="str">
        <f>"每20分钟"</f>
        <v>每20分钟</v>
      </c>
      <c r="D1353" s="1" t="str">
        <f t="shared" si="420"/>
        <v>次</v>
      </c>
      <c r="E1353" s="1" t="str">
        <f t="shared" si="419"/>
        <v>治疗费</v>
      </c>
    </row>
    <row r="1354" spans="1:5">
      <c r="A1354" s="1" t="str">
        <f>"蜡疗"</f>
        <v>蜡疗</v>
      </c>
      <c r="B1354" s="1">
        <v>5</v>
      </c>
      <c r="C1354" s="1" t="str">
        <f>"每部位"</f>
        <v>每部位</v>
      </c>
      <c r="D1354" s="1" t="str">
        <f>"每部位"</f>
        <v>每部位</v>
      </c>
      <c r="E1354" s="1" t="str">
        <f t="shared" si="419"/>
        <v>治疗费</v>
      </c>
    </row>
    <row r="1355" spans="1:5">
      <c r="A1355" s="1" t="str">
        <f>"牵引"</f>
        <v>牵引</v>
      </c>
      <c r="B1355" s="1">
        <v>25</v>
      </c>
      <c r="C1355" s="1" t="str">
        <f>"次"</f>
        <v>次</v>
      </c>
      <c r="D1355" s="1" t="str">
        <f>"次"</f>
        <v>次</v>
      </c>
      <c r="E1355" s="1" t="str">
        <f t="shared" si="419"/>
        <v>治疗费</v>
      </c>
    </row>
    <row r="1356" spans="1:5">
      <c r="A1356" s="1" t="str">
        <f>"电动牵引"</f>
        <v>电动牵引</v>
      </c>
      <c r="B1356" s="1">
        <v>25</v>
      </c>
      <c r="C1356" s="1" t="str">
        <f>"项"</f>
        <v>项</v>
      </c>
      <c r="D1356" s="1" t="str">
        <f>"项"</f>
        <v>项</v>
      </c>
      <c r="E1356" s="1" t="str">
        <f t="shared" si="419"/>
        <v>治疗费</v>
      </c>
    </row>
    <row r="1357" spans="1:5">
      <c r="A1357" s="1" t="str">
        <f>"腰椎土法牵引"</f>
        <v>腰椎土法牵引</v>
      </c>
      <c r="B1357" s="1">
        <v>25</v>
      </c>
      <c r="C1357" s="1" t="str">
        <f>"项"</f>
        <v>项</v>
      </c>
      <c r="D1357" s="1" t="str">
        <f>"项"</f>
        <v>项</v>
      </c>
      <c r="E1357" s="1" t="str">
        <f t="shared" si="419"/>
        <v>治疗费</v>
      </c>
    </row>
    <row r="1358" spans="1:5">
      <c r="A1358" s="1" t="str">
        <f>"气压治疗"</f>
        <v>气压治疗</v>
      </c>
      <c r="B1358" s="1">
        <v>8</v>
      </c>
      <c r="C1358" s="1" t="str">
        <f t="shared" ref="C1358:C1362" si="421">"每部位"</f>
        <v>每部位</v>
      </c>
      <c r="D1358" s="1" t="str">
        <f t="shared" ref="D1358:D1362" si="422">"每部位"</f>
        <v>每部位</v>
      </c>
      <c r="E1358" s="1" t="str">
        <f t="shared" si="419"/>
        <v>治疗费</v>
      </c>
    </row>
    <row r="1359" spans="1:5">
      <c r="A1359" s="1" t="str">
        <f>"肢体气压治疗"</f>
        <v>肢体气压治疗</v>
      </c>
      <c r="B1359" s="1">
        <v>8</v>
      </c>
      <c r="C1359" s="1" t="str">
        <f t="shared" ref="C1359:C1393" si="423">"次"</f>
        <v>次</v>
      </c>
      <c r="D1359" s="1" t="str">
        <f t="shared" ref="D1359:D1366" si="424">"次"</f>
        <v>次</v>
      </c>
      <c r="E1359" s="1" t="str">
        <f>"理疗费"</f>
        <v>理疗费</v>
      </c>
    </row>
    <row r="1360" spans="1:5">
      <c r="A1360" s="1" t="str">
        <f>"冷疗"</f>
        <v>冷疗</v>
      </c>
      <c r="B1360" s="1">
        <v>5</v>
      </c>
      <c r="C1360" s="1" t="str">
        <f t="shared" si="421"/>
        <v>每部位</v>
      </c>
      <c r="D1360" s="1" t="str">
        <f t="shared" si="422"/>
        <v>每部位</v>
      </c>
      <c r="E1360" s="1" t="str">
        <f t="shared" ref="E1360:E1363" si="425">"治疗费"</f>
        <v>治疗费</v>
      </c>
    </row>
    <row r="1361" spans="1:5">
      <c r="A1361" s="1" t="str">
        <f>"电按摩"</f>
        <v>电按摩</v>
      </c>
      <c r="B1361" s="1">
        <v>8</v>
      </c>
      <c r="C1361" s="1" t="str">
        <f t="shared" si="423"/>
        <v>次</v>
      </c>
      <c r="D1361" s="1" t="str">
        <f t="shared" si="424"/>
        <v>次</v>
      </c>
      <c r="E1361" s="1" t="str">
        <f t="shared" si="425"/>
        <v>治疗费</v>
      </c>
    </row>
    <row r="1362" spans="1:5">
      <c r="A1362" s="1" t="str">
        <f>"场效应治疗"</f>
        <v>场效应治疗</v>
      </c>
      <c r="B1362" s="1">
        <v>5</v>
      </c>
      <c r="C1362" s="1" t="str">
        <f t="shared" si="421"/>
        <v>每部位</v>
      </c>
      <c r="D1362" s="1" t="str">
        <f t="shared" si="422"/>
        <v>每部位</v>
      </c>
      <c r="E1362" s="1" t="str">
        <f t="shared" si="425"/>
        <v>治疗费</v>
      </c>
    </row>
    <row r="1363" spans="1:5">
      <c r="A1363" s="1" t="str">
        <f>"多频振动治疗"</f>
        <v>多频振动治疗</v>
      </c>
      <c r="B1363" s="1">
        <v>40</v>
      </c>
      <c r="C1363" s="1" t="str">
        <f t="shared" si="423"/>
        <v>次</v>
      </c>
      <c r="D1363" s="1" t="str">
        <f t="shared" si="424"/>
        <v>次</v>
      </c>
      <c r="E1363" s="1" t="str">
        <f t="shared" si="425"/>
        <v>治疗费</v>
      </c>
    </row>
    <row r="1364" spans="1:5">
      <c r="A1364" s="1" t="str">
        <f>"徒手平衡功能检查"</f>
        <v>徒手平衡功能检查</v>
      </c>
      <c r="B1364" s="1">
        <v>16</v>
      </c>
      <c r="C1364" s="1" t="str">
        <f t="shared" si="423"/>
        <v>次</v>
      </c>
      <c r="D1364" s="1" t="str">
        <f t="shared" si="424"/>
        <v>次</v>
      </c>
      <c r="E1364" s="1" t="str">
        <f t="shared" ref="E1364:E1369" si="426">"检查费"</f>
        <v>检查费</v>
      </c>
    </row>
    <row r="1365" spans="1:5">
      <c r="A1365" s="1" t="str">
        <f>"仪器平衡功能评定"</f>
        <v>仪器平衡功能评定</v>
      </c>
      <c r="B1365" s="1">
        <v>39</v>
      </c>
      <c r="C1365" s="1" t="str">
        <f t="shared" si="423"/>
        <v>次</v>
      </c>
      <c r="D1365" s="1" t="str">
        <f t="shared" si="424"/>
        <v>次</v>
      </c>
      <c r="E1365" s="1" t="str">
        <f t="shared" ref="E1365:E1370" si="427">"治疗费"</f>
        <v>治疗费</v>
      </c>
    </row>
    <row r="1366" spans="1:5">
      <c r="A1366" s="1" t="str">
        <f>"日常生活能力评定"</f>
        <v>日常生活能力评定</v>
      </c>
      <c r="B1366" s="1">
        <v>13</v>
      </c>
      <c r="C1366" s="1" t="str">
        <f t="shared" si="423"/>
        <v>次</v>
      </c>
      <c r="D1366" s="1" t="str">
        <f t="shared" si="424"/>
        <v>次</v>
      </c>
      <c r="E1366" s="1" t="str">
        <f t="shared" si="427"/>
        <v>治疗费</v>
      </c>
    </row>
    <row r="1367" spans="1:5">
      <c r="A1367" s="1" t="str">
        <f>"等速肌力测定"</f>
        <v>等速肌力测定</v>
      </c>
      <c r="B1367" s="1">
        <v>20</v>
      </c>
      <c r="C1367" s="1" t="str">
        <f t="shared" si="423"/>
        <v>次</v>
      </c>
      <c r="D1367" s="1" t="str">
        <f>"每 关节"</f>
        <v>每 关节</v>
      </c>
      <c r="E1367" s="1" t="str">
        <f t="shared" si="426"/>
        <v>检查费</v>
      </c>
    </row>
    <row r="1368" spans="1:5">
      <c r="A1368" s="1" t="str">
        <f>"手功能评定"</f>
        <v>手功能评定</v>
      </c>
      <c r="B1368" s="1">
        <v>13</v>
      </c>
      <c r="C1368" s="1" t="str">
        <f t="shared" si="423"/>
        <v>次</v>
      </c>
      <c r="D1368" s="1" t="str">
        <f t="shared" ref="D1368:D1393" si="428">"次"</f>
        <v>次</v>
      </c>
      <c r="E1368" s="1" t="str">
        <f t="shared" si="426"/>
        <v>检查费</v>
      </c>
    </row>
    <row r="1369" spans="1:5">
      <c r="A1369" s="1" t="str">
        <f>"疲劳度测定"</f>
        <v>疲劳度测定</v>
      </c>
      <c r="B1369" s="1">
        <v>10</v>
      </c>
      <c r="C1369" s="1" t="str">
        <f t="shared" si="423"/>
        <v>次</v>
      </c>
      <c r="D1369" s="1" t="str">
        <f>"每次"</f>
        <v>每次</v>
      </c>
      <c r="E1369" s="1" t="str">
        <f t="shared" si="426"/>
        <v>检查费</v>
      </c>
    </row>
    <row r="1370" spans="1:5">
      <c r="A1370" s="1" t="str">
        <f>"步态分析检查"</f>
        <v>步态分析检查</v>
      </c>
      <c r="B1370" s="1">
        <v>16</v>
      </c>
      <c r="C1370" s="1" t="str">
        <f t="shared" si="423"/>
        <v>次</v>
      </c>
      <c r="D1370" s="1" t="str">
        <f t="shared" si="428"/>
        <v>次</v>
      </c>
      <c r="E1370" s="1" t="str">
        <f t="shared" si="427"/>
        <v>治疗费</v>
      </c>
    </row>
    <row r="1371" spans="1:5">
      <c r="A1371" s="1" t="str">
        <f>"言语能力评定"</f>
        <v>言语能力评定</v>
      </c>
      <c r="B1371" s="1">
        <v>13</v>
      </c>
      <c r="C1371" s="1" t="str">
        <f t="shared" si="423"/>
        <v>次</v>
      </c>
      <c r="D1371" s="1" t="str">
        <f t="shared" si="428"/>
        <v>次</v>
      </c>
      <c r="E1371" s="1" t="str">
        <f t="shared" ref="E1371:E1376" si="429">"检查费"</f>
        <v>检查费</v>
      </c>
    </row>
    <row r="1372" spans="1:5">
      <c r="A1372" s="1" t="str">
        <f>"口吃检查"</f>
        <v>口吃检查</v>
      </c>
      <c r="B1372" s="1">
        <v>13</v>
      </c>
      <c r="C1372" s="1" t="str">
        <f t="shared" si="423"/>
        <v>次</v>
      </c>
      <c r="D1372" s="1" t="str">
        <f t="shared" si="428"/>
        <v>次</v>
      </c>
      <c r="E1372" s="1" t="str">
        <f t="shared" si="429"/>
        <v>检查费</v>
      </c>
    </row>
    <row r="1373" spans="1:5">
      <c r="A1373" s="1" t="str">
        <f>"吞咽功能障碍评定"</f>
        <v>吞咽功能障碍评定</v>
      </c>
      <c r="B1373" s="1">
        <v>26</v>
      </c>
      <c r="C1373" s="1" t="str">
        <f t="shared" si="423"/>
        <v>次</v>
      </c>
      <c r="D1373" s="1" t="str">
        <f t="shared" si="428"/>
        <v>次</v>
      </c>
      <c r="E1373" s="1" t="str">
        <f>"治疗费"</f>
        <v>治疗费</v>
      </c>
    </row>
    <row r="1374" spans="1:5">
      <c r="A1374" s="1" t="str">
        <f>"认知知觉功能检查"</f>
        <v>认知知觉功能检查</v>
      </c>
      <c r="B1374" s="1">
        <v>13</v>
      </c>
      <c r="C1374" s="1" t="str">
        <f t="shared" si="423"/>
        <v>次</v>
      </c>
      <c r="D1374" s="1" t="str">
        <f t="shared" si="428"/>
        <v>次</v>
      </c>
      <c r="E1374" s="1" t="str">
        <f t="shared" si="429"/>
        <v>检查费</v>
      </c>
    </row>
    <row r="1375" spans="1:5">
      <c r="A1375" s="1" t="str">
        <f>"记忆力评定"</f>
        <v>记忆力评定</v>
      </c>
      <c r="B1375" s="1">
        <v>13</v>
      </c>
      <c r="C1375" s="1" t="str">
        <f t="shared" si="423"/>
        <v>次</v>
      </c>
      <c r="D1375" s="1" t="str">
        <f t="shared" si="428"/>
        <v>次</v>
      </c>
      <c r="E1375" s="1" t="str">
        <f t="shared" si="429"/>
        <v>检查费</v>
      </c>
    </row>
    <row r="1376" spans="1:5">
      <c r="A1376" s="1" t="str">
        <f>"失认失用评定"</f>
        <v>失认失用评定</v>
      </c>
      <c r="B1376" s="1">
        <v>13</v>
      </c>
      <c r="C1376" s="1" t="str">
        <f t="shared" si="423"/>
        <v>次</v>
      </c>
      <c r="D1376" s="1" t="str">
        <f t="shared" si="428"/>
        <v>次</v>
      </c>
      <c r="E1376" s="1" t="str">
        <f t="shared" si="429"/>
        <v>检查费</v>
      </c>
    </row>
    <row r="1377" spans="1:5">
      <c r="A1377" s="1" t="str">
        <f>"职业能力评定"</f>
        <v>职业能力评定</v>
      </c>
      <c r="B1377" s="1">
        <v>13</v>
      </c>
      <c r="C1377" s="1" t="str">
        <f t="shared" si="423"/>
        <v>次</v>
      </c>
      <c r="D1377" s="1" t="str">
        <f t="shared" si="428"/>
        <v>次</v>
      </c>
      <c r="E1377" s="1" t="str">
        <f t="shared" ref="E1377:E1403" si="430">"治疗费"</f>
        <v>治疗费</v>
      </c>
    </row>
    <row r="1378" spans="1:5">
      <c r="A1378" s="1" t="str">
        <f>"记忆广度检查"</f>
        <v>记忆广度检查</v>
      </c>
      <c r="B1378" s="1">
        <v>13</v>
      </c>
      <c r="C1378" s="1" t="str">
        <f t="shared" si="423"/>
        <v>次</v>
      </c>
      <c r="D1378" s="1" t="str">
        <f t="shared" si="428"/>
        <v>次</v>
      </c>
      <c r="E1378" s="1" t="str">
        <f>"检查费"</f>
        <v>检查费</v>
      </c>
    </row>
    <row r="1379" spans="1:5">
      <c r="A1379" s="1" t="str">
        <f>"心功能康复评定"</f>
        <v>心功能康复评定</v>
      </c>
      <c r="B1379" s="1">
        <v>52</v>
      </c>
      <c r="C1379" s="1" t="str">
        <f t="shared" si="423"/>
        <v>次</v>
      </c>
      <c r="D1379" s="1" t="str">
        <f t="shared" si="428"/>
        <v>次</v>
      </c>
      <c r="E1379" s="1" t="str">
        <f>"检查费"</f>
        <v>检查费</v>
      </c>
    </row>
    <row r="1380" spans="1:5">
      <c r="A1380" s="1" t="str">
        <f>"人体残伤测定"</f>
        <v>人体残伤测定</v>
      </c>
      <c r="B1380" s="1">
        <v>13</v>
      </c>
      <c r="C1380" s="1" t="str">
        <f t="shared" si="423"/>
        <v>次</v>
      </c>
      <c r="D1380" s="1" t="str">
        <f t="shared" si="428"/>
        <v>次</v>
      </c>
      <c r="E1380" s="1" t="str">
        <f t="shared" si="430"/>
        <v>治疗费</v>
      </c>
    </row>
    <row r="1381" spans="1:5">
      <c r="A1381" s="1" t="str">
        <f>"运动疗法"</f>
        <v>运动疗法</v>
      </c>
      <c r="B1381" s="1">
        <v>16</v>
      </c>
      <c r="C1381" s="1" t="str">
        <f t="shared" si="423"/>
        <v>次</v>
      </c>
      <c r="D1381" s="1" t="str">
        <f t="shared" si="428"/>
        <v>次</v>
      </c>
      <c r="E1381" s="1" t="str">
        <f t="shared" si="430"/>
        <v>治疗费</v>
      </c>
    </row>
    <row r="1382" spans="1:5">
      <c r="A1382" s="1" t="str">
        <f>"步态平衡功能训练"</f>
        <v>步态平衡功能训练</v>
      </c>
      <c r="B1382" s="1">
        <v>13</v>
      </c>
      <c r="C1382" s="1" t="str">
        <f t="shared" si="423"/>
        <v>次</v>
      </c>
      <c r="D1382" s="1" t="str">
        <f t="shared" si="428"/>
        <v>次</v>
      </c>
      <c r="E1382" s="1" t="str">
        <f t="shared" si="430"/>
        <v>治疗费</v>
      </c>
    </row>
    <row r="1383" spans="1:5">
      <c r="A1383" s="1" t="str">
        <f>"全身肌力训练"</f>
        <v>全身肌力训练</v>
      </c>
      <c r="B1383" s="1">
        <v>16</v>
      </c>
      <c r="C1383" s="1" t="str">
        <f t="shared" si="423"/>
        <v>次</v>
      </c>
      <c r="D1383" s="1" t="str">
        <f t="shared" si="428"/>
        <v>次</v>
      </c>
      <c r="E1383" s="1" t="str">
        <f t="shared" si="430"/>
        <v>治疗费</v>
      </c>
    </row>
    <row r="1384" spans="1:5">
      <c r="A1384" s="1" t="str">
        <f>"器械训练"</f>
        <v>器械训练</v>
      </c>
      <c r="B1384" s="1">
        <v>16</v>
      </c>
      <c r="C1384" s="1" t="str">
        <f t="shared" si="423"/>
        <v>次</v>
      </c>
      <c r="D1384" s="1" t="str">
        <f t="shared" si="428"/>
        <v>次</v>
      </c>
      <c r="E1384" s="1" t="str">
        <f t="shared" si="430"/>
        <v>治疗费</v>
      </c>
    </row>
    <row r="1385" spans="1:5">
      <c r="A1385" s="1" t="str">
        <f>"减重支持系统训练"</f>
        <v>减重支持系统训练</v>
      </c>
      <c r="B1385" s="1">
        <v>39</v>
      </c>
      <c r="C1385" s="1" t="str">
        <f t="shared" si="423"/>
        <v>次</v>
      </c>
      <c r="D1385" s="1" t="str">
        <f t="shared" si="428"/>
        <v>次</v>
      </c>
      <c r="E1385" s="1" t="str">
        <f t="shared" si="430"/>
        <v>治疗费</v>
      </c>
    </row>
    <row r="1386" spans="1:5">
      <c r="A1386" s="1" t="str">
        <f>"轮椅功能训练"</f>
        <v>轮椅功能训练</v>
      </c>
      <c r="B1386" s="1">
        <v>13</v>
      </c>
      <c r="C1386" s="1" t="str">
        <f t="shared" si="423"/>
        <v>次</v>
      </c>
      <c r="D1386" s="1" t="str">
        <f t="shared" si="428"/>
        <v>次</v>
      </c>
      <c r="E1386" s="1" t="str">
        <f t="shared" si="430"/>
        <v>治疗费</v>
      </c>
    </row>
    <row r="1387" spans="1:5">
      <c r="A1387" s="1" t="str">
        <f>"电动起立床训练"</f>
        <v>电动起立床训练</v>
      </c>
      <c r="B1387" s="1">
        <v>13</v>
      </c>
      <c r="C1387" s="1" t="str">
        <f t="shared" si="423"/>
        <v>次</v>
      </c>
      <c r="D1387" s="1" t="str">
        <f t="shared" si="428"/>
        <v>次</v>
      </c>
      <c r="E1387" s="1" t="str">
        <f t="shared" si="430"/>
        <v>治疗费</v>
      </c>
    </row>
    <row r="1388" spans="1:5">
      <c r="A1388" s="1" t="str">
        <f>"平衡功能训练"</f>
        <v>平衡功能训练</v>
      </c>
      <c r="B1388" s="1">
        <v>15</v>
      </c>
      <c r="C1388" s="1" t="str">
        <f t="shared" si="423"/>
        <v>次</v>
      </c>
      <c r="D1388" s="1" t="str">
        <f t="shared" si="428"/>
        <v>次</v>
      </c>
      <c r="E1388" s="1" t="str">
        <f t="shared" si="430"/>
        <v>治疗费</v>
      </c>
    </row>
    <row r="1389" spans="1:5">
      <c r="A1389" s="1" t="str">
        <f>"手功能训练"</f>
        <v>手功能训练</v>
      </c>
      <c r="B1389" s="1">
        <v>20</v>
      </c>
      <c r="C1389" s="1" t="str">
        <f t="shared" si="423"/>
        <v>次</v>
      </c>
      <c r="D1389" s="1" t="str">
        <f t="shared" si="428"/>
        <v>次</v>
      </c>
      <c r="E1389" s="1" t="str">
        <f t="shared" si="430"/>
        <v>治疗费</v>
      </c>
    </row>
    <row r="1390" spans="1:5">
      <c r="A1390" s="1" t="str">
        <f>"关节松动训练"</f>
        <v>关节松动训练</v>
      </c>
      <c r="B1390" s="1">
        <v>33</v>
      </c>
      <c r="C1390" s="1" t="str">
        <f t="shared" si="423"/>
        <v>次</v>
      </c>
      <c r="D1390" s="1" t="str">
        <f t="shared" si="428"/>
        <v>次</v>
      </c>
      <c r="E1390" s="1" t="str">
        <f t="shared" si="430"/>
        <v>治疗费</v>
      </c>
    </row>
    <row r="1391" spans="1:5">
      <c r="A1391" s="1" t="str">
        <f>"有氧训练"</f>
        <v>有氧训练</v>
      </c>
      <c r="B1391" s="1">
        <v>26</v>
      </c>
      <c r="C1391" s="1" t="str">
        <f t="shared" si="423"/>
        <v>次</v>
      </c>
      <c r="D1391" s="1" t="str">
        <f t="shared" si="428"/>
        <v>次</v>
      </c>
      <c r="E1391" s="1" t="str">
        <f t="shared" si="430"/>
        <v>治疗费</v>
      </c>
    </row>
    <row r="1392" spans="1:5">
      <c r="A1392" s="1" t="str">
        <f>"文体训练"</f>
        <v>文体训练</v>
      </c>
      <c r="B1392" s="1">
        <v>13</v>
      </c>
      <c r="C1392" s="1" t="str">
        <f t="shared" si="423"/>
        <v>次</v>
      </c>
      <c r="D1392" s="1" t="str">
        <f t="shared" si="428"/>
        <v>次</v>
      </c>
      <c r="E1392" s="1" t="str">
        <f t="shared" si="430"/>
        <v>治疗费</v>
      </c>
    </row>
    <row r="1393" spans="1:5">
      <c r="A1393" s="1" t="str">
        <f>"引导式教育训练"</f>
        <v>引导式教育训练</v>
      </c>
      <c r="B1393" s="1">
        <v>10</v>
      </c>
      <c r="C1393" s="1" t="str">
        <f t="shared" si="423"/>
        <v>次</v>
      </c>
      <c r="D1393" s="1" t="str">
        <f t="shared" si="428"/>
        <v>次</v>
      </c>
      <c r="E1393" s="1" t="str">
        <f t="shared" si="430"/>
        <v>治疗费</v>
      </c>
    </row>
    <row r="1394" spans="1:5">
      <c r="A1394" s="1" t="str">
        <f>"引导式教育训练（婴儿）"</f>
        <v>引导式教育训练（婴儿）</v>
      </c>
      <c r="B1394" s="1">
        <v>13</v>
      </c>
      <c r="C1394" s="1" t="str">
        <f>"项"</f>
        <v>项</v>
      </c>
      <c r="D1394" s="1" t="str">
        <f>"项"</f>
        <v>项</v>
      </c>
      <c r="E1394" s="1" t="str">
        <f t="shared" si="430"/>
        <v>治疗费</v>
      </c>
    </row>
    <row r="1395" spans="1:5">
      <c r="A1395" s="1" t="str">
        <f>"等速肌力训练"</f>
        <v>等速肌力训练</v>
      </c>
      <c r="B1395" s="1">
        <v>20</v>
      </c>
      <c r="C1395" s="1" t="str">
        <f t="shared" ref="C1395:C1407" si="431">"次"</f>
        <v>次</v>
      </c>
      <c r="D1395" s="1" t="str">
        <f t="shared" ref="D1395:D1407" si="432">"次"</f>
        <v>次</v>
      </c>
      <c r="E1395" s="1" t="str">
        <f t="shared" si="430"/>
        <v>治疗费</v>
      </c>
    </row>
    <row r="1396" spans="1:5">
      <c r="A1396" s="1" t="str">
        <f>"作业疗法"</f>
        <v>作业疗法</v>
      </c>
      <c r="B1396" s="1">
        <v>20</v>
      </c>
      <c r="C1396" s="1" t="str">
        <f t="shared" si="431"/>
        <v>次</v>
      </c>
      <c r="D1396" s="1" t="str">
        <f t="shared" si="432"/>
        <v>次</v>
      </c>
      <c r="E1396" s="1" t="str">
        <f t="shared" si="430"/>
        <v>治疗费</v>
      </c>
    </row>
    <row r="1397" spans="1:5">
      <c r="A1397" s="1" t="str">
        <f>"职业功能训练"</f>
        <v>职业功能训练</v>
      </c>
      <c r="B1397" s="1">
        <v>26</v>
      </c>
      <c r="C1397" s="1" t="str">
        <f t="shared" si="431"/>
        <v>次</v>
      </c>
      <c r="D1397" s="1" t="str">
        <f t="shared" si="432"/>
        <v>次</v>
      </c>
      <c r="E1397" s="1" t="str">
        <f t="shared" si="430"/>
        <v>治疗费</v>
      </c>
    </row>
    <row r="1398" spans="1:5">
      <c r="A1398" s="1" t="str">
        <f>"口吃训练"</f>
        <v>口吃训练</v>
      </c>
      <c r="B1398" s="1">
        <v>20</v>
      </c>
      <c r="C1398" s="1" t="str">
        <f t="shared" si="431"/>
        <v>次</v>
      </c>
      <c r="D1398" s="1" t="str">
        <f t="shared" si="432"/>
        <v>次</v>
      </c>
      <c r="E1398" s="1" t="str">
        <f t="shared" si="430"/>
        <v>治疗费</v>
      </c>
    </row>
    <row r="1399" spans="1:5">
      <c r="A1399" s="1" t="str">
        <f>"言语训练"</f>
        <v>言语训练</v>
      </c>
      <c r="B1399" s="1">
        <v>26</v>
      </c>
      <c r="C1399" s="1" t="str">
        <f t="shared" si="431"/>
        <v>次</v>
      </c>
      <c r="D1399" s="1" t="str">
        <f t="shared" si="432"/>
        <v>次</v>
      </c>
      <c r="E1399" s="1" t="str">
        <f t="shared" si="430"/>
        <v>治疗费</v>
      </c>
    </row>
    <row r="1400" spans="1:5">
      <c r="A1400" s="1" t="str">
        <f>"儿童听力障碍语言训练"</f>
        <v>儿童听力障碍语言训练</v>
      </c>
      <c r="B1400" s="1">
        <v>26</v>
      </c>
      <c r="C1400" s="1" t="str">
        <f t="shared" si="431"/>
        <v>次</v>
      </c>
      <c r="D1400" s="1" t="str">
        <f t="shared" si="432"/>
        <v>次</v>
      </c>
      <c r="E1400" s="1" t="str">
        <f t="shared" si="430"/>
        <v>治疗费</v>
      </c>
    </row>
    <row r="1401" spans="1:5">
      <c r="A1401" s="1" t="str">
        <f>"构音障碍训练"</f>
        <v>构音障碍训练</v>
      </c>
      <c r="B1401" s="1">
        <v>13</v>
      </c>
      <c r="C1401" s="1" t="str">
        <f t="shared" si="431"/>
        <v>次</v>
      </c>
      <c r="D1401" s="1" t="str">
        <f t="shared" si="432"/>
        <v>次</v>
      </c>
      <c r="E1401" s="1" t="str">
        <f t="shared" si="430"/>
        <v>治疗费</v>
      </c>
    </row>
    <row r="1402" spans="1:5">
      <c r="A1402" s="1" t="str">
        <f>"吞咽功能障碍训练"</f>
        <v>吞咽功能障碍训练</v>
      </c>
      <c r="B1402" s="1">
        <v>13</v>
      </c>
      <c r="C1402" s="1" t="str">
        <f t="shared" si="431"/>
        <v>次</v>
      </c>
      <c r="D1402" s="1" t="str">
        <f t="shared" si="432"/>
        <v>次</v>
      </c>
      <c r="E1402" s="1" t="str">
        <f t="shared" si="430"/>
        <v>治疗费</v>
      </c>
    </row>
    <row r="1403" spans="1:5">
      <c r="A1403" s="1" t="str">
        <f>"认知知觉功能障碍训练"</f>
        <v>认知知觉功能障碍训练</v>
      </c>
      <c r="B1403" s="1">
        <v>13</v>
      </c>
      <c r="C1403" s="1" t="str">
        <f t="shared" si="431"/>
        <v>次</v>
      </c>
      <c r="D1403" s="1" t="str">
        <f t="shared" si="432"/>
        <v>次</v>
      </c>
      <c r="E1403" s="1" t="str">
        <f t="shared" si="430"/>
        <v>治疗费</v>
      </c>
    </row>
    <row r="1404" spans="1:5">
      <c r="A1404" s="1" t="str">
        <f>"社区康复测查"</f>
        <v>社区康复测查</v>
      </c>
      <c r="B1404" s="1">
        <v>13</v>
      </c>
      <c r="C1404" s="1" t="str">
        <f t="shared" si="431"/>
        <v>次</v>
      </c>
      <c r="D1404" s="1" t="str">
        <f t="shared" si="432"/>
        <v>次</v>
      </c>
      <c r="E1404" s="1" t="str">
        <f>"检查费"</f>
        <v>检查费</v>
      </c>
    </row>
    <row r="1405" spans="1:5">
      <c r="A1405" s="1" t="str">
        <f>"偏瘫肢体综合训练"</f>
        <v>偏瘫肢体综合训练</v>
      </c>
      <c r="B1405" s="1">
        <v>52</v>
      </c>
      <c r="C1405" s="1" t="str">
        <f t="shared" si="431"/>
        <v>次</v>
      </c>
      <c r="D1405" s="1" t="str">
        <f t="shared" si="432"/>
        <v>次</v>
      </c>
      <c r="E1405" s="1" t="str">
        <f t="shared" ref="E1405:E1407" si="433">"治疗费"</f>
        <v>治疗费</v>
      </c>
    </row>
    <row r="1406" spans="1:5">
      <c r="A1406" s="1" t="str">
        <f>"脑瘫肢体综合训练"</f>
        <v>脑瘫肢体综合训练</v>
      </c>
      <c r="B1406" s="1">
        <v>52</v>
      </c>
      <c r="C1406" s="1" t="str">
        <f t="shared" si="431"/>
        <v>次</v>
      </c>
      <c r="D1406" s="1" t="str">
        <f t="shared" si="432"/>
        <v>次</v>
      </c>
      <c r="E1406" s="1" t="str">
        <f t="shared" si="433"/>
        <v>治疗费</v>
      </c>
    </row>
    <row r="1407" spans="1:5">
      <c r="A1407" s="1" t="str">
        <f>"截瘫肢体综合训练"</f>
        <v>截瘫肢体综合训练</v>
      </c>
      <c r="B1407" s="1">
        <v>39</v>
      </c>
      <c r="C1407" s="1" t="str">
        <f t="shared" si="431"/>
        <v>次</v>
      </c>
      <c r="D1407" s="1" t="str">
        <f t="shared" si="432"/>
        <v>次</v>
      </c>
      <c r="E1407" s="1" t="str">
        <f t="shared" si="433"/>
        <v>治疗费</v>
      </c>
    </row>
    <row r="1408" spans="1:5">
      <c r="A1408" s="1" t="str">
        <f>"营养状况评定"</f>
        <v>营养状况评定</v>
      </c>
      <c r="B1408" s="1">
        <v>70</v>
      </c>
      <c r="C1408" s="1" t="str">
        <f>"每次"</f>
        <v>每次</v>
      </c>
      <c r="D1408" s="1" t="str">
        <f>"每次"</f>
        <v>每次</v>
      </c>
      <c r="E1408" s="1" t="str">
        <f>"检查费"</f>
        <v>检查费</v>
      </c>
    </row>
    <row r="1409" spans="1:5">
      <c r="A1409" s="1" t="str">
        <f>"虚拟情景康复训练"</f>
        <v>虚拟情景康复训练</v>
      </c>
      <c r="B1409" s="1">
        <v>39</v>
      </c>
      <c r="C1409" s="1" t="str">
        <f>"次"</f>
        <v>次</v>
      </c>
      <c r="D1409" s="1" t="str">
        <f>"次"</f>
        <v>次</v>
      </c>
      <c r="E1409" s="1" t="str">
        <f>"治疗费"</f>
        <v>治疗费</v>
      </c>
    </row>
    <row r="1410" spans="1:5">
      <c r="A1410" s="1" t="str">
        <f>"经皮植物神经（丛、节、链）阻滞"</f>
        <v>经皮植物神经（丛、节、链）阻滞</v>
      </c>
      <c r="B1410" s="1">
        <v>600</v>
      </c>
      <c r="C1410" s="1" t="str">
        <f t="shared" ref="C1410:C1418" si="434">"项"</f>
        <v>项</v>
      </c>
      <c r="D1410" s="1" t="str">
        <f t="shared" ref="D1410:D1417" si="435">"项"</f>
        <v>项</v>
      </c>
      <c r="E1410" s="1" t="str">
        <f t="shared" ref="E1410:E1418" si="436">"手术费"</f>
        <v>手术费</v>
      </c>
    </row>
    <row r="1411" spans="1:5">
      <c r="A1411" s="1" t="str">
        <f>"经皮植物神经（丛、节、链）毁损术"</f>
        <v>经皮植物神经（丛、节、链）毁损术</v>
      </c>
      <c r="B1411" s="1">
        <v>1400</v>
      </c>
      <c r="C1411" s="1" t="str">
        <f t="shared" si="434"/>
        <v>项</v>
      </c>
      <c r="D1411" s="1" t="str">
        <f t="shared" si="435"/>
        <v>项</v>
      </c>
      <c r="E1411" s="1" t="str">
        <f t="shared" si="436"/>
        <v>手术费</v>
      </c>
    </row>
    <row r="1412" spans="1:5">
      <c r="A1412" s="1" t="str">
        <f>"经皮颅神经阻滞"</f>
        <v>经皮颅神经阻滞</v>
      </c>
      <c r="B1412" s="1">
        <v>400</v>
      </c>
      <c r="C1412" s="1" t="str">
        <f t="shared" si="434"/>
        <v>项</v>
      </c>
      <c r="D1412" s="1" t="str">
        <f t="shared" si="435"/>
        <v>项</v>
      </c>
      <c r="E1412" s="1" t="str">
        <f t="shared" si="436"/>
        <v>手术费</v>
      </c>
    </row>
    <row r="1413" spans="1:5">
      <c r="A1413" s="1" t="str">
        <f>"经皮颅神经射频热凝术"</f>
        <v>经皮颅神经射频热凝术</v>
      </c>
      <c r="B1413" s="1">
        <v>1400</v>
      </c>
      <c r="C1413" s="1" t="str">
        <f t="shared" si="434"/>
        <v>项</v>
      </c>
      <c r="D1413" s="1" t="str">
        <f t="shared" si="435"/>
        <v>项</v>
      </c>
      <c r="E1413" s="1" t="str">
        <f t="shared" si="436"/>
        <v>手术费</v>
      </c>
    </row>
    <row r="1414" spans="1:5">
      <c r="A1414" s="1" t="str">
        <f>"大关节腔内穿刺注射"</f>
        <v>大关节腔内穿刺注射</v>
      </c>
      <c r="B1414" s="1">
        <v>100</v>
      </c>
      <c r="C1414" s="1" t="str">
        <f t="shared" si="434"/>
        <v>项</v>
      </c>
      <c r="D1414" s="1" t="str">
        <f t="shared" si="435"/>
        <v>项</v>
      </c>
      <c r="E1414" s="1" t="str">
        <f t="shared" si="436"/>
        <v>手术费</v>
      </c>
    </row>
    <row r="1415" spans="1:5">
      <c r="A1415" s="1" t="str">
        <f>"经皮骨骼肌附着点松解术"</f>
        <v>经皮骨骼肌附着点松解术</v>
      </c>
      <c r="B1415" s="1">
        <v>800</v>
      </c>
      <c r="C1415" s="1" t="str">
        <f t="shared" si="434"/>
        <v>项</v>
      </c>
      <c r="D1415" s="1" t="str">
        <f t="shared" si="435"/>
        <v>项</v>
      </c>
      <c r="E1415" s="1" t="str">
        <f t="shared" si="436"/>
        <v>手术费</v>
      </c>
    </row>
    <row r="1416" spans="1:5">
      <c r="A1416" s="1" t="str">
        <f>"神经电刺激器引导下神经阻滞"</f>
        <v>神经电刺激器引导下神经阻滞</v>
      </c>
      <c r="B1416" s="1">
        <v>100</v>
      </c>
      <c r="C1416" s="1" t="str">
        <f t="shared" si="434"/>
        <v>项</v>
      </c>
      <c r="D1416" s="1" t="str">
        <f t="shared" si="435"/>
        <v>项</v>
      </c>
      <c r="E1416" s="1" t="str">
        <f t="shared" si="436"/>
        <v>手术费</v>
      </c>
    </row>
    <row r="1417" spans="1:5">
      <c r="A1417" s="1" t="str">
        <f>"神经电刺激器引导下神经丛阻滞"</f>
        <v>神经电刺激器引导下神经丛阻滞</v>
      </c>
      <c r="B1417" s="1">
        <v>200</v>
      </c>
      <c r="C1417" s="1" t="str">
        <f t="shared" si="434"/>
        <v>项</v>
      </c>
      <c r="D1417" s="1" t="str">
        <f t="shared" si="435"/>
        <v>项</v>
      </c>
      <c r="E1417" s="1" t="str">
        <f t="shared" si="436"/>
        <v>手术费</v>
      </c>
    </row>
    <row r="1418" spans="1:5">
      <c r="A1418" s="1" t="str">
        <f>"超声引导下神经阻滞"</f>
        <v>超声引导下神经阻滞</v>
      </c>
      <c r="B1418" s="1">
        <v>200</v>
      </c>
      <c r="C1418" s="1" t="str">
        <f t="shared" si="434"/>
        <v>项</v>
      </c>
      <c r="D1418" s="1" t="str">
        <f>"支"</f>
        <v>支</v>
      </c>
      <c r="E1418" s="1" t="str">
        <f t="shared" si="436"/>
        <v>手术费</v>
      </c>
    </row>
    <row r="1419" spans="1:5">
      <c r="A1419" s="1" t="str">
        <f>"冲击波疼痛治疗"</f>
        <v>冲击波疼痛治疗</v>
      </c>
      <c r="B1419" s="1">
        <v>81</v>
      </c>
      <c r="C1419" s="1" t="str">
        <f>"次"</f>
        <v>次</v>
      </c>
      <c r="D1419" s="1" t="str">
        <f>"次"</f>
        <v>次</v>
      </c>
      <c r="E1419" s="1" t="str">
        <f t="shared" ref="E1419:E1424" si="437">"治疗费"</f>
        <v>治疗费</v>
      </c>
    </row>
    <row r="1420" spans="1:5">
      <c r="A1420" s="1" t="str">
        <f>"贴敷疗法"</f>
        <v>贴敷疗法</v>
      </c>
      <c r="B1420" s="1">
        <v>15</v>
      </c>
      <c r="C1420" s="1" t="str">
        <f>"每个创面"</f>
        <v>每个创面</v>
      </c>
      <c r="D1420" s="1" t="str">
        <f>"每处 病变"</f>
        <v>每处 病变</v>
      </c>
      <c r="E1420" s="1" t="str">
        <f t="shared" si="437"/>
        <v>治疗费</v>
      </c>
    </row>
    <row r="1421" spans="1:5">
      <c r="A1421" s="1" t="str">
        <f>"中药涂擦治疗"</f>
        <v>中药涂擦治疗</v>
      </c>
      <c r="B1421" s="1">
        <v>15</v>
      </c>
      <c r="C1421" s="1" t="str">
        <f>"次"</f>
        <v>次</v>
      </c>
      <c r="D1421" s="1" t="str">
        <f>"10%体表面积"</f>
        <v>10%体表面积</v>
      </c>
      <c r="E1421" s="1" t="str">
        <f t="shared" si="437"/>
        <v>治疗费</v>
      </c>
    </row>
    <row r="1422" spans="1:5">
      <c r="A1422" s="1" t="str">
        <f>"中药涂擦治疗大于全身体表面积10"</f>
        <v>中药涂擦治疗大于全身体表面积10</v>
      </c>
      <c r="B1422" s="1">
        <v>22</v>
      </c>
      <c r="C1422" s="1" t="str">
        <f>"-"</f>
        <v>-</v>
      </c>
      <c r="D1422" s="1" t="str">
        <f>"次"</f>
        <v>次</v>
      </c>
      <c r="E1422" s="1" t="str">
        <f t="shared" si="437"/>
        <v>治疗费</v>
      </c>
    </row>
    <row r="1423" spans="1:5">
      <c r="A1423" s="1" t="str">
        <f>"中药热奄包治疗"</f>
        <v>中药热奄包治疗</v>
      </c>
      <c r="B1423" s="1">
        <v>15</v>
      </c>
      <c r="C1423" s="1" t="str">
        <f>"每个部位"</f>
        <v>每个部位</v>
      </c>
      <c r="D1423" s="1" t="str">
        <f>"每个部位"</f>
        <v>每个部位</v>
      </c>
      <c r="E1423" s="1" t="str">
        <f t="shared" si="437"/>
        <v>治疗费</v>
      </c>
    </row>
    <row r="1424" spans="1:5">
      <c r="A1424" s="1" t="str">
        <f>"中药封包治疗"</f>
        <v>中药封包治疗</v>
      </c>
      <c r="B1424" s="1">
        <v>20</v>
      </c>
      <c r="C1424" s="1" t="str">
        <f>"每个部位"</f>
        <v>每个部位</v>
      </c>
      <c r="D1424" s="1" t="str">
        <f>"每个部位"</f>
        <v>每个部位</v>
      </c>
      <c r="E1424" s="1" t="str">
        <f t="shared" si="437"/>
        <v>治疗费</v>
      </c>
    </row>
    <row r="1425" spans="1:5">
      <c r="A1425" s="1" t="str">
        <f>"中药熏洗治疗"</f>
        <v>中药熏洗治疗</v>
      </c>
      <c r="B1425" s="1">
        <v>35</v>
      </c>
      <c r="C1425" s="1" t="str">
        <f>"局部"</f>
        <v>局部</v>
      </c>
      <c r="D1425" s="1" t="str">
        <f>"每次"</f>
        <v>每次</v>
      </c>
      <c r="E1425" s="1" t="str">
        <f>"治疗费(含材料费)"</f>
        <v>治疗费(含材料费)</v>
      </c>
    </row>
    <row r="1426" spans="1:5">
      <c r="A1426" s="1" t="str">
        <f>"中药熏洗治疗"</f>
        <v>中药熏洗治疗</v>
      </c>
      <c r="B1426" s="1">
        <v>61</v>
      </c>
      <c r="C1426" s="1" t="str">
        <f>"全身"</f>
        <v>全身</v>
      </c>
      <c r="D1426" s="1" t="str">
        <f>"每次"</f>
        <v>每次</v>
      </c>
      <c r="E1426" s="1" t="str">
        <f t="shared" ref="E1426:E1430" si="438">"治疗费"</f>
        <v>治疗费</v>
      </c>
    </row>
    <row r="1427" spans="1:5">
      <c r="A1427" s="1" t="str">
        <f>"中药蒸汽浴治疗"</f>
        <v>中药蒸汽浴治疗</v>
      </c>
      <c r="B1427" s="1">
        <v>39</v>
      </c>
      <c r="C1427" s="1" t="str">
        <f t="shared" ref="C1427:C1440" si="439">"次"</f>
        <v>次</v>
      </c>
      <c r="D1427" s="1" t="str">
        <f t="shared" ref="D1427:D1440" si="440">"次"</f>
        <v>次</v>
      </c>
      <c r="E1427" s="1" t="str">
        <f t="shared" si="438"/>
        <v>治疗费</v>
      </c>
    </row>
    <row r="1428" spans="1:5">
      <c r="A1428" s="1" t="str">
        <f>"中药熏药治疗"</f>
        <v>中药熏药治疗</v>
      </c>
      <c r="B1428" s="1">
        <v>44</v>
      </c>
      <c r="C1428" s="1" t="str">
        <f>"次.含药物调配"</f>
        <v>次.含药物调配</v>
      </c>
      <c r="D1428" s="1" t="str">
        <f t="shared" si="440"/>
        <v>次</v>
      </c>
      <c r="E1428" s="1" t="str">
        <f t="shared" si="438"/>
        <v>治疗费</v>
      </c>
    </row>
    <row r="1429" spans="1:5">
      <c r="A1429" s="1" t="str">
        <f>"挑治"</f>
        <v>挑治</v>
      </c>
      <c r="B1429" s="1">
        <v>24</v>
      </c>
      <c r="C1429" s="1" t="str">
        <f t="shared" si="439"/>
        <v>次</v>
      </c>
      <c r="D1429" s="1" t="str">
        <f t="shared" si="440"/>
        <v>次</v>
      </c>
      <c r="E1429" s="1" t="str">
        <f t="shared" si="438"/>
        <v>治疗费</v>
      </c>
    </row>
    <row r="1430" spans="1:5">
      <c r="A1430" s="1" t="str">
        <f>"甲床放血治疗术"</f>
        <v>甲床放血治疗术</v>
      </c>
      <c r="B1430" s="1">
        <v>44</v>
      </c>
      <c r="C1430" s="1" t="str">
        <f>"每甲"</f>
        <v>每甲</v>
      </c>
      <c r="D1430" s="1" t="str">
        <f t="shared" si="440"/>
        <v>次</v>
      </c>
      <c r="E1430" s="1" t="str">
        <f t="shared" si="438"/>
        <v>治疗费</v>
      </c>
    </row>
    <row r="1431" spans="1:5">
      <c r="A1431" s="1" t="str">
        <f>"骨折手法复位整复术"</f>
        <v>骨折手法复位整复术</v>
      </c>
      <c r="B1431" s="1">
        <v>130</v>
      </c>
      <c r="C1431" s="1" t="str">
        <f t="shared" si="439"/>
        <v>次</v>
      </c>
      <c r="D1431" s="1" t="str">
        <f t="shared" si="440"/>
        <v>次</v>
      </c>
      <c r="E1431" s="1" t="str">
        <f>"手术费"</f>
        <v>手术费</v>
      </c>
    </row>
    <row r="1432" spans="1:5">
      <c r="A1432" s="1" t="str">
        <f>"骨折手法整复术掌(跖)、指(趾)骨折按脱位"</f>
        <v>骨折手法整复术掌(跖)、指(趾)骨折按脱位</v>
      </c>
      <c r="B1432" s="1">
        <v>72</v>
      </c>
      <c r="C1432" s="1" t="str">
        <f t="shared" si="439"/>
        <v>次</v>
      </c>
      <c r="D1432" s="1" t="str">
        <f t="shared" si="440"/>
        <v>次</v>
      </c>
      <c r="E1432" s="1" t="str">
        <f>"手术费"</f>
        <v>手术费</v>
      </c>
    </row>
    <row r="1433" spans="1:5">
      <c r="A1433" s="1" t="str">
        <f>"骨折橇拨复位术"</f>
        <v>骨折橇拨复位术</v>
      </c>
      <c r="B1433" s="1">
        <v>289</v>
      </c>
      <c r="C1433" s="1" t="str">
        <f t="shared" si="439"/>
        <v>次</v>
      </c>
      <c r="D1433" s="1" t="str">
        <f t="shared" si="440"/>
        <v>次</v>
      </c>
      <c r="E1433" s="1" t="str">
        <f t="shared" ref="E1433:E1439" si="441">"治疗费"</f>
        <v>治疗费</v>
      </c>
    </row>
    <row r="1434" spans="1:5">
      <c r="A1434" s="1" t="str">
        <f>"骨折经皮钳夹复位术"</f>
        <v>骨折经皮钳夹复位术</v>
      </c>
      <c r="B1434" s="1">
        <v>289</v>
      </c>
      <c r="C1434" s="1" t="str">
        <f t="shared" si="439"/>
        <v>次</v>
      </c>
      <c r="D1434" s="1" t="str">
        <f t="shared" si="440"/>
        <v>次</v>
      </c>
      <c r="E1434" s="1" t="str">
        <f t="shared" si="441"/>
        <v>治疗费</v>
      </c>
    </row>
    <row r="1435" spans="1:5">
      <c r="A1435" s="1" t="str">
        <f>"骨折闭合复位经皮穿刺（钉）内固定术"</f>
        <v>骨折闭合复位经皮穿刺（钉）内固定术</v>
      </c>
      <c r="B1435" s="1">
        <v>510</v>
      </c>
      <c r="C1435" s="1" t="str">
        <f t="shared" si="439"/>
        <v>次</v>
      </c>
      <c r="D1435" s="1" t="str">
        <f t="shared" si="440"/>
        <v>次</v>
      </c>
      <c r="E1435" s="1" t="str">
        <f t="shared" si="441"/>
        <v>治疗费</v>
      </c>
    </row>
    <row r="1436" spans="1:5">
      <c r="A1436" s="1" t="str">
        <f>"关节脱位手法整复术"</f>
        <v>关节脱位手法整复术</v>
      </c>
      <c r="B1436" s="1">
        <v>86</v>
      </c>
      <c r="C1436" s="1" t="str">
        <f t="shared" si="439"/>
        <v>次</v>
      </c>
      <c r="D1436" s="1" t="str">
        <f t="shared" si="440"/>
        <v>次</v>
      </c>
      <c r="E1436" s="1" t="str">
        <f t="shared" si="441"/>
        <v>治疗费</v>
      </c>
    </row>
    <row r="1437" spans="1:5">
      <c r="A1437" s="1" t="str">
        <f>"关节脱位手法整复术(髋关节）"</f>
        <v>关节脱位手法整复术(髋关节）</v>
      </c>
      <c r="B1437" s="1">
        <v>173</v>
      </c>
      <c r="C1437" s="1" t="str">
        <f t="shared" si="439"/>
        <v>次</v>
      </c>
      <c r="D1437" s="1" t="str">
        <f t="shared" si="440"/>
        <v>次</v>
      </c>
      <c r="E1437" s="1" t="str">
        <f t="shared" si="441"/>
        <v>治疗费</v>
      </c>
    </row>
    <row r="1438" spans="1:5">
      <c r="A1438" s="1" t="str">
        <f>"关节脱位手法整复术(下颌关节脱位、指(趾)间关节脱位)"</f>
        <v>关节脱位手法整复术(下颌关节脱位、指(趾)间关节脱位)</v>
      </c>
      <c r="B1438" s="1">
        <v>43</v>
      </c>
      <c r="C1438" s="1" t="str">
        <f t="shared" si="439"/>
        <v>次</v>
      </c>
      <c r="D1438" s="1" t="str">
        <f t="shared" si="440"/>
        <v>次</v>
      </c>
      <c r="E1438" s="1" t="str">
        <f t="shared" si="441"/>
        <v>治疗费</v>
      </c>
    </row>
    <row r="1439" spans="1:5">
      <c r="A1439" s="1" t="str">
        <f>"骨折外固定架固定术"</f>
        <v>骨折外固定架固定术</v>
      </c>
      <c r="B1439" s="1">
        <v>215</v>
      </c>
      <c r="C1439" s="1" t="str">
        <f t="shared" si="439"/>
        <v>次</v>
      </c>
      <c r="D1439" s="1" t="str">
        <f t="shared" si="440"/>
        <v>次</v>
      </c>
      <c r="E1439" s="1" t="str">
        <f t="shared" si="441"/>
        <v>治疗费</v>
      </c>
    </row>
    <row r="1440" spans="1:5">
      <c r="A1440" s="1" t="str">
        <f>"骨折夹板外固定术"</f>
        <v>骨折夹板外固定术</v>
      </c>
      <c r="B1440" s="1">
        <v>130</v>
      </c>
      <c r="C1440" s="1" t="str">
        <f t="shared" si="439"/>
        <v>次</v>
      </c>
      <c r="D1440" s="1" t="str">
        <f t="shared" si="440"/>
        <v>次</v>
      </c>
      <c r="E1440" s="1" t="str">
        <f>"手术费"</f>
        <v>手术费</v>
      </c>
    </row>
    <row r="1441" spans="1:5">
      <c r="A1441" s="1" t="str">
        <f>"医用固定带(护膝)"</f>
        <v>医用固定带(护膝)</v>
      </c>
      <c r="B1441" s="1">
        <v>27.54</v>
      </c>
      <c r="C1441" s="1" t="str">
        <f>"个"</f>
        <v>个</v>
      </c>
      <c r="D1441" s="1" t="str">
        <f>"个"</f>
        <v>个</v>
      </c>
      <c r="E1441" s="1" t="str">
        <f>"治疗费(含材料费)"</f>
        <v>治疗费(含材料费)</v>
      </c>
    </row>
    <row r="1442" spans="1:5">
      <c r="A1442" s="1" t="str">
        <f>"手指骨折夹板外固定术"</f>
        <v>手指骨折夹板外固定术</v>
      </c>
      <c r="B1442" s="1">
        <v>43</v>
      </c>
      <c r="C1442" s="1" t="str">
        <f t="shared" ref="C1442:C1446" si="442">"次"</f>
        <v>次</v>
      </c>
      <c r="D1442" s="1" t="str">
        <f>"每个"</f>
        <v>每个</v>
      </c>
      <c r="E1442" s="1" t="str">
        <f>"手术费"</f>
        <v>手术费</v>
      </c>
    </row>
    <row r="1443" spans="1:5">
      <c r="A1443" s="1" t="str">
        <f>"关节错缝术"</f>
        <v>关节错缝术</v>
      </c>
      <c r="B1443" s="1">
        <v>72</v>
      </c>
      <c r="C1443" s="1" t="str">
        <f t="shared" si="442"/>
        <v>次</v>
      </c>
      <c r="D1443" s="1" t="str">
        <f t="shared" ref="D1443:D1446" si="443">"次"</f>
        <v>次</v>
      </c>
      <c r="E1443" s="1" t="str">
        <f t="shared" ref="E1443:E1454" si="444">"治疗费"</f>
        <v>治疗费</v>
      </c>
    </row>
    <row r="1444" spans="1:5">
      <c r="A1444" s="1" t="str">
        <f>"外固定架使用"</f>
        <v>外固定架使用</v>
      </c>
      <c r="B1444" s="1">
        <v>6</v>
      </c>
      <c r="C1444" s="1" t="str">
        <f>"日"</f>
        <v>日</v>
      </c>
      <c r="D1444" s="1" t="str">
        <f>"日"</f>
        <v>日</v>
      </c>
      <c r="E1444" s="1" t="str">
        <f t="shared" si="444"/>
        <v>治疗费</v>
      </c>
    </row>
    <row r="1445" spans="1:5">
      <c r="A1445" s="1" t="str">
        <f>"关节粘连传统松解术"</f>
        <v>关节粘连传统松解术</v>
      </c>
      <c r="B1445" s="1">
        <v>157</v>
      </c>
      <c r="C1445" s="1" t="str">
        <f t="shared" si="442"/>
        <v>次</v>
      </c>
      <c r="D1445" s="1" t="str">
        <f t="shared" si="443"/>
        <v>次</v>
      </c>
      <c r="E1445" s="1" t="str">
        <f t="shared" si="444"/>
        <v>治疗费</v>
      </c>
    </row>
    <row r="1446" spans="1:5">
      <c r="A1446" s="1" t="str">
        <f>"外固定调整术"</f>
        <v>外固定调整术</v>
      </c>
      <c r="B1446" s="1">
        <v>195</v>
      </c>
      <c r="C1446" s="1" t="str">
        <f t="shared" si="442"/>
        <v>次</v>
      </c>
      <c r="D1446" s="1" t="str">
        <f t="shared" si="443"/>
        <v>次</v>
      </c>
      <c r="E1446" s="1" t="str">
        <f t="shared" si="444"/>
        <v>治疗费</v>
      </c>
    </row>
    <row r="1447" spans="1:5">
      <c r="A1447" s="1" t="str">
        <f>"中医定向透药疗法"</f>
        <v>中医定向透药疗法</v>
      </c>
      <c r="B1447" s="1">
        <v>37</v>
      </c>
      <c r="C1447" s="1" t="str">
        <f>"部位"</f>
        <v>部位</v>
      </c>
      <c r="D1447" s="1" t="str">
        <f>"每部位"</f>
        <v>每部位</v>
      </c>
      <c r="E1447" s="1" t="str">
        <f t="shared" si="444"/>
        <v>治疗费</v>
      </c>
    </row>
    <row r="1448" spans="1:5">
      <c r="A1448" s="1" t="str">
        <f>"外固定架拆除术"</f>
        <v>外固定架拆除术</v>
      </c>
      <c r="B1448" s="1">
        <v>72</v>
      </c>
      <c r="C1448" s="1" t="str">
        <f t="shared" ref="C1448:C1454" si="445">"次"</f>
        <v>次</v>
      </c>
      <c r="D1448" s="1" t="str">
        <f t="shared" ref="D1448:D1454" si="446">"次"</f>
        <v>次</v>
      </c>
      <c r="E1448" s="1" t="str">
        <f t="shared" si="444"/>
        <v>治疗费</v>
      </c>
    </row>
    <row r="1449" spans="1:5">
      <c r="A1449" s="1" t="str">
        <f>"腱鞘囊肿挤压术"</f>
        <v>腱鞘囊肿挤压术</v>
      </c>
      <c r="B1449" s="1">
        <v>100</v>
      </c>
      <c r="C1449" s="1" t="str">
        <f t="shared" si="445"/>
        <v>次</v>
      </c>
      <c r="D1449" s="1" t="str">
        <f t="shared" si="446"/>
        <v>次</v>
      </c>
      <c r="E1449" s="1" t="str">
        <f t="shared" si="444"/>
        <v>治疗费</v>
      </c>
    </row>
    <row r="1450" spans="1:5">
      <c r="A1450" s="1" t="str">
        <f>"骨折畸形愈合手法折骨术"</f>
        <v>骨折畸形愈合手法折骨术</v>
      </c>
      <c r="B1450" s="1">
        <v>105</v>
      </c>
      <c r="C1450" s="1" t="str">
        <f t="shared" si="445"/>
        <v>次</v>
      </c>
      <c r="D1450" s="1" t="str">
        <f t="shared" si="446"/>
        <v>次</v>
      </c>
      <c r="E1450" s="1" t="str">
        <f t="shared" si="444"/>
        <v>治疗费</v>
      </c>
    </row>
    <row r="1451" spans="1:5">
      <c r="A1451" s="1" t="str">
        <f>"普通针刺"</f>
        <v>普通针刺</v>
      </c>
      <c r="B1451" s="1">
        <v>32</v>
      </c>
      <c r="C1451" s="1" t="str">
        <f t="shared" si="445"/>
        <v>次</v>
      </c>
      <c r="D1451" s="1" t="str">
        <f t="shared" si="446"/>
        <v>次</v>
      </c>
      <c r="E1451" s="1" t="str">
        <f t="shared" si="444"/>
        <v>治疗费</v>
      </c>
    </row>
    <row r="1452" spans="1:5">
      <c r="A1452" s="1" t="str">
        <f>"温针"</f>
        <v>温针</v>
      </c>
      <c r="B1452" s="1">
        <v>39</v>
      </c>
      <c r="C1452" s="1" t="str">
        <f t="shared" si="445"/>
        <v>次</v>
      </c>
      <c r="D1452" s="1" t="str">
        <f t="shared" si="446"/>
        <v>次</v>
      </c>
      <c r="E1452" s="1" t="str">
        <f t="shared" si="444"/>
        <v>治疗费</v>
      </c>
    </row>
    <row r="1453" spans="1:5">
      <c r="A1453" s="1" t="str">
        <f>"手指点穴"</f>
        <v>手指点穴</v>
      </c>
      <c r="B1453" s="1">
        <v>21</v>
      </c>
      <c r="C1453" s="1" t="str">
        <f t="shared" si="445"/>
        <v>次</v>
      </c>
      <c r="D1453" s="1" t="str">
        <f t="shared" si="446"/>
        <v>次</v>
      </c>
      <c r="E1453" s="1" t="str">
        <f t="shared" si="444"/>
        <v>治疗费</v>
      </c>
    </row>
    <row r="1454" spans="1:5">
      <c r="A1454" s="1" t="str">
        <f>"微针针刺"</f>
        <v>微针针刺</v>
      </c>
      <c r="B1454" s="1">
        <v>32</v>
      </c>
      <c r="C1454" s="1" t="str">
        <f t="shared" si="445"/>
        <v>次</v>
      </c>
      <c r="D1454" s="1" t="str">
        <f t="shared" si="446"/>
        <v>次</v>
      </c>
      <c r="E1454" s="1" t="str">
        <f t="shared" si="444"/>
        <v>治疗费</v>
      </c>
    </row>
    <row r="1455" spans="1:5">
      <c r="A1455" s="1" t="str">
        <f>"头皮针"</f>
        <v>头皮针</v>
      </c>
      <c r="B1455" s="1">
        <v>40</v>
      </c>
      <c r="C1455" s="1" t="str">
        <f t="shared" ref="C1455:C1462" si="447">"次"</f>
        <v>次</v>
      </c>
      <c r="D1455" s="1" t="str">
        <f t="shared" ref="D1455:D1462" si="448">"次"</f>
        <v>次</v>
      </c>
      <c r="E1455" s="1" t="str">
        <f t="shared" ref="E1455:E1489" si="449">"治疗费"</f>
        <v>治疗费</v>
      </c>
    </row>
    <row r="1456" spans="1:5">
      <c r="A1456" s="1" t="str">
        <f>"梅花针"</f>
        <v>梅花针</v>
      </c>
      <c r="B1456" s="1">
        <v>18</v>
      </c>
      <c r="C1456" s="1" t="str">
        <f t="shared" si="447"/>
        <v>次</v>
      </c>
      <c r="D1456" s="1" t="str">
        <f t="shared" si="448"/>
        <v>次</v>
      </c>
      <c r="E1456" s="1" t="str">
        <f t="shared" si="449"/>
        <v>治疗费</v>
      </c>
    </row>
    <row r="1457" spans="1:5">
      <c r="A1457" s="1" t="str">
        <f>"埋针治疗"</f>
        <v>埋针治疗</v>
      </c>
      <c r="B1457" s="1">
        <v>16</v>
      </c>
      <c r="C1457" s="1" t="str">
        <f>"穴位"</f>
        <v>穴位</v>
      </c>
      <c r="D1457" s="1" t="str">
        <f>"每个 穴位"</f>
        <v>每个 穴位</v>
      </c>
      <c r="E1457" s="1" t="str">
        <f t="shared" si="449"/>
        <v>治疗费</v>
      </c>
    </row>
    <row r="1458" spans="1:5">
      <c r="A1458" s="1" t="str">
        <f>"耳针"</f>
        <v>耳针</v>
      </c>
      <c r="B1458" s="1">
        <v>24</v>
      </c>
      <c r="C1458" s="1" t="str">
        <f>"单耳"</f>
        <v>单耳</v>
      </c>
      <c r="D1458" s="1" t="str">
        <f>"单侧"</f>
        <v>单侧</v>
      </c>
      <c r="E1458" s="1" t="str">
        <f t="shared" si="449"/>
        <v>治疗费</v>
      </c>
    </row>
    <row r="1459" spans="1:5">
      <c r="A1459" s="1" t="str">
        <f>"耳针（耳穴压豆）"</f>
        <v>耳针（耳穴压豆）</v>
      </c>
      <c r="B1459" s="1">
        <v>15</v>
      </c>
      <c r="C1459" s="1" t="str">
        <f>"单耳"</f>
        <v>单耳</v>
      </c>
      <c r="D1459" s="1" t="str">
        <f t="shared" si="448"/>
        <v>次</v>
      </c>
      <c r="E1459" s="1" t="str">
        <f t="shared" si="449"/>
        <v>治疗费</v>
      </c>
    </row>
    <row r="1460" spans="1:5">
      <c r="A1460" s="1" t="str">
        <f>"芒针"</f>
        <v>芒针</v>
      </c>
      <c r="B1460" s="1">
        <v>21</v>
      </c>
      <c r="C1460" s="1" t="str">
        <f t="shared" si="447"/>
        <v>次</v>
      </c>
      <c r="D1460" s="1" t="str">
        <f t="shared" si="448"/>
        <v>次</v>
      </c>
      <c r="E1460" s="1" t="str">
        <f t="shared" si="449"/>
        <v>治疗费</v>
      </c>
    </row>
    <row r="1461" spans="1:5">
      <c r="A1461" s="1" t="str">
        <f>"针刺运动疗法"</f>
        <v>针刺运动疗法</v>
      </c>
      <c r="B1461" s="1">
        <v>36</v>
      </c>
      <c r="C1461" s="1" t="str">
        <f t="shared" si="447"/>
        <v>次</v>
      </c>
      <c r="D1461" s="1" t="str">
        <f t="shared" si="448"/>
        <v>次</v>
      </c>
      <c r="E1461" s="1" t="str">
        <f t="shared" si="449"/>
        <v>治疗费</v>
      </c>
    </row>
    <row r="1462" spans="1:5">
      <c r="A1462" s="1" t="str">
        <f>"电针"</f>
        <v>电针</v>
      </c>
      <c r="B1462" s="1">
        <v>24</v>
      </c>
      <c r="C1462" s="1" t="str">
        <f t="shared" si="447"/>
        <v>次</v>
      </c>
      <c r="D1462" s="1" t="str">
        <f t="shared" si="448"/>
        <v>次</v>
      </c>
      <c r="E1462" s="1" t="str">
        <f t="shared" si="449"/>
        <v>治疗费</v>
      </c>
    </row>
    <row r="1463" spans="1:5">
      <c r="A1463" s="1" t="str">
        <f>"浮针"</f>
        <v>浮针</v>
      </c>
      <c r="B1463" s="1">
        <v>21</v>
      </c>
      <c r="C1463" s="1" t="str">
        <f t="shared" ref="C1463:C1466" si="450">"穴位"</f>
        <v>穴位</v>
      </c>
      <c r="D1463" s="1" t="str">
        <f t="shared" ref="D1463:D1466" si="451">"每个 穴位"</f>
        <v>每个 穴位</v>
      </c>
      <c r="E1463" s="1" t="str">
        <f t="shared" si="449"/>
        <v>治疗费</v>
      </c>
    </row>
    <row r="1464" spans="1:5">
      <c r="A1464" s="1" t="str">
        <f>"放血疗法"</f>
        <v>放血疗法</v>
      </c>
      <c r="B1464" s="1">
        <v>21</v>
      </c>
      <c r="C1464" s="1" t="str">
        <f t="shared" si="450"/>
        <v>穴位</v>
      </c>
      <c r="D1464" s="1" t="str">
        <f t="shared" si="451"/>
        <v>每个 穴位</v>
      </c>
      <c r="E1464" s="1" t="str">
        <f t="shared" si="449"/>
        <v>治疗费</v>
      </c>
    </row>
    <row r="1465" spans="1:5">
      <c r="A1465" s="1" t="str">
        <f>"穴位注射"</f>
        <v>穴位注射</v>
      </c>
      <c r="B1465" s="1">
        <v>20</v>
      </c>
      <c r="C1465" s="1" t="str">
        <f t="shared" si="450"/>
        <v>穴位</v>
      </c>
      <c r="D1465" s="1" t="str">
        <f>"二个 穴位"</f>
        <v>二个 穴位</v>
      </c>
      <c r="E1465" s="1" t="str">
        <f t="shared" si="449"/>
        <v>治疗费</v>
      </c>
    </row>
    <row r="1466" spans="1:5">
      <c r="A1466" s="1" t="str">
        <f>"穴位贴敷治疗"</f>
        <v>穴位贴敷治疗</v>
      </c>
      <c r="B1466" s="1">
        <v>12</v>
      </c>
      <c r="C1466" s="1" t="str">
        <f t="shared" si="450"/>
        <v>穴位</v>
      </c>
      <c r="D1466" s="1" t="str">
        <f t="shared" si="451"/>
        <v>每个 穴位</v>
      </c>
      <c r="E1466" s="1" t="str">
        <f t="shared" si="449"/>
        <v>治疗费</v>
      </c>
    </row>
    <row r="1467" spans="1:5">
      <c r="A1467" s="1" t="str">
        <f>"子午流注开穴法"</f>
        <v>子午流注开穴法</v>
      </c>
      <c r="B1467" s="1">
        <v>30</v>
      </c>
      <c r="C1467" s="1" t="str">
        <f t="shared" ref="C1467:C1471" si="452">"次"</f>
        <v>次</v>
      </c>
      <c r="D1467" s="1" t="str">
        <f t="shared" ref="D1467:D1471" si="453">"次"</f>
        <v>次</v>
      </c>
      <c r="E1467" s="1" t="str">
        <f t="shared" si="449"/>
        <v>治疗费</v>
      </c>
    </row>
    <row r="1468" spans="1:5">
      <c r="A1468" s="1" t="str">
        <f>"通脑活络针刺"</f>
        <v>通脑活络针刺</v>
      </c>
      <c r="B1468" s="1">
        <v>50</v>
      </c>
      <c r="C1468" s="1" t="str">
        <f t="shared" si="452"/>
        <v>次</v>
      </c>
      <c r="D1468" s="1" t="str">
        <f t="shared" si="453"/>
        <v>次</v>
      </c>
      <c r="E1468" s="1" t="str">
        <f t="shared" si="449"/>
        <v>治疗费</v>
      </c>
    </row>
    <row r="1469" spans="1:5">
      <c r="A1469" s="1" t="str">
        <f>"灸法"</f>
        <v>灸法</v>
      </c>
      <c r="B1469" s="1">
        <v>20</v>
      </c>
      <c r="C1469" s="1" t="str">
        <f t="shared" si="452"/>
        <v>次</v>
      </c>
      <c r="D1469" s="1" t="str">
        <f t="shared" si="453"/>
        <v>次</v>
      </c>
      <c r="E1469" s="1" t="str">
        <f t="shared" si="449"/>
        <v>治疗费</v>
      </c>
    </row>
    <row r="1470" spans="1:5">
      <c r="A1470" s="1" t="str">
        <f>"艾条灸"</f>
        <v>艾条灸</v>
      </c>
      <c r="B1470" s="1">
        <v>15</v>
      </c>
      <c r="C1470" s="1" t="str">
        <f t="shared" si="452"/>
        <v>次</v>
      </c>
      <c r="D1470" s="1" t="str">
        <f t="shared" si="453"/>
        <v>次</v>
      </c>
      <c r="E1470" s="1" t="str">
        <f t="shared" si="449"/>
        <v>治疗费</v>
      </c>
    </row>
    <row r="1471" spans="1:5">
      <c r="A1471" s="1" t="str">
        <f>"隔物灸法"</f>
        <v>隔物灸法</v>
      </c>
      <c r="B1471" s="1">
        <v>24</v>
      </c>
      <c r="C1471" s="1" t="str">
        <f t="shared" si="452"/>
        <v>次</v>
      </c>
      <c r="D1471" s="1" t="str">
        <f t="shared" si="453"/>
        <v>次</v>
      </c>
      <c r="E1471" s="1" t="str">
        <f t="shared" si="449"/>
        <v>治疗费</v>
      </c>
    </row>
    <row r="1472" spans="1:5">
      <c r="A1472" s="1" t="str">
        <f>"拔罐疗法"</f>
        <v>拔罐疗法</v>
      </c>
      <c r="B1472" s="1">
        <v>21</v>
      </c>
      <c r="C1472" s="1" t="str">
        <f>"罐"</f>
        <v>罐</v>
      </c>
      <c r="D1472" s="1" t="str">
        <f>"3罐"</f>
        <v>3罐</v>
      </c>
      <c r="E1472" s="1" t="str">
        <f t="shared" si="449"/>
        <v>治疗费</v>
      </c>
    </row>
    <row r="1473" spans="1:5">
      <c r="A1473" s="1" t="str">
        <f>"药物罐疗法"</f>
        <v>药物罐疗法</v>
      </c>
      <c r="B1473" s="1">
        <v>1</v>
      </c>
      <c r="C1473" s="1" t="str">
        <f>"罐"</f>
        <v>罐</v>
      </c>
      <c r="D1473" s="1" t="str">
        <f>"项"</f>
        <v>项</v>
      </c>
      <c r="E1473" s="1" t="str">
        <f t="shared" si="449"/>
        <v>治疗费</v>
      </c>
    </row>
    <row r="1474" spans="1:5">
      <c r="A1474" s="1" t="str">
        <f>"游走罐"</f>
        <v>游走罐</v>
      </c>
      <c r="B1474" s="1">
        <v>18</v>
      </c>
      <c r="C1474" s="1" t="str">
        <f t="shared" ref="C1474:C1481" si="454">"次"</f>
        <v>次</v>
      </c>
      <c r="D1474" s="1" t="str">
        <f t="shared" ref="D1474:D1484" si="455">"次"</f>
        <v>次</v>
      </c>
      <c r="E1474" s="1" t="str">
        <f t="shared" si="449"/>
        <v>治疗费</v>
      </c>
    </row>
    <row r="1475" spans="1:5">
      <c r="A1475" s="1" t="str">
        <f>"雷火灸"</f>
        <v>雷火灸</v>
      </c>
      <c r="B1475" s="1">
        <v>66</v>
      </c>
      <c r="C1475" s="1" t="str">
        <f>"部位"</f>
        <v>部位</v>
      </c>
      <c r="D1475" s="1" t="str">
        <f>"每个 部位"</f>
        <v>每个 部位</v>
      </c>
      <c r="E1475" s="1" t="str">
        <f t="shared" si="449"/>
        <v>治疗费</v>
      </c>
    </row>
    <row r="1476" spans="1:5">
      <c r="A1476" s="1" t="str">
        <f>"落枕推拿治疗"</f>
        <v>落枕推拿治疗</v>
      </c>
      <c r="B1476" s="1">
        <v>34</v>
      </c>
      <c r="C1476" s="1" t="str">
        <f t="shared" si="454"/>
        <v>次</v>
      </c>
      <c r="D1476" s="1" t="str">
        <f t="shared" si="455"/>
        <v>次</v>
      </c>
      <c r="E1476" s="1" t="str">
        <f t="shared" si="449"/>
        <v>治疗费</v>
      </c>
    </row>
    <row r="1477" spans="1:5">
      <c r="A1477" s="1" t="str">
        <f>"颈椎病推拿治疗"</f>
        <v>颈椎病推拿治疗</v>
      </c>
      <c r="B1477" s="1">
        <v>55</v>
      </c>
      <c r="C1477" s="1" t="str">
        <f t="shared" si="454"/>
        <v>次</v>
      </c>
      <c r="D1477" s="1" t="str">
        <f t="shared" si="455"/>
        <v>次</v>
      </c>
      <c r="E1477" s="1" t="str">
        <f t="shared" si="449"/>
        <v>治疗费</v>
      </c>
    </row>
    <row r="1478" spans="1:5">
      <c r="A1478" s="1" t="str">
        <f>"肩周炎推拿治疗"</f>
        <v>肩周炎推拿治疗</v>
      </c>
      <c r="B1478" s="1">
        <v>42</v>
      </c>
      <c r="C1478" s="1" t="str">
        <f t="shared" si="454"/>
        <v>次</v>
      </c>
      <c r="D1478" s="1" t="str">
        <f t="shared" si="455"/>
        <v>次</v>
      </c>
      <c r="E1478" s="1" t="str">
        <f t="shared" si="449"/>
        <v>治疗费</v>
      </c>
    </row>
    <row r="1479" spans="1:5">
      <c r="A1479" s="1" t="str">
        <f>"网球肘推拿治疗"</f>
        <v>网球肘推拿治疗</v>
      </c>
      <c r="B1479" s="1">
        <v>42</v>
      </c>
      <c r="C1479" s="1" t="str">
        <f t="shared" si="454"/>
        <v>次</v>
      </c>
      <c r="D1479" s="1" t="str">
        <f t="shared" si="455"/>
        <v>次</v>
      </c>
      <c r="E1479" s="1" t="str">
        <f t="shared" si="449"/>
        <v>治疗费</v>
      </c>
    </row>
    <row r="1480" spans="1:5">
      <c r="A1480" s="1" t="str">
        <f>"急性腰扭伤推拿治疗"</f>
        <v>急性腰扭伤推拿治疗</v>
      </c>
      <c r="B1480" s="1">
        <v>42</v>
      </c>
      <c r="C1480" s="1" t="str">
        <f t="shared" si="454"/>
        <v>次</v>
      </c>
      <c r="D1480" s="1" t="str">
        <f t="shared" si="455"/>
        <v>次</v>
      </c>
      <c r="E1480" s="1" t="str">
        <f t="shared" si="449"/>
        <v>治疗费</v>
      </c>
    </row>
    <row r="1481" spans="1:5">
      <c r="A1481" s="1" t="str">
        <f>"腰椎间盘突出推拿治疗"</f>
        <v>腰椎间盘突出推拿治疗</v>
      </c>
      <c r="B1481" s="1">
        <v>82</v>
      </c>
      <c r="C1481" s="1" t="str">
        <f t="shared" si="454"/>
        <v>次</v>
      </c>
      <c r="D1481" s="1" t="str">
        <f t="shared" si="455"/>
        <v>次</v>
      </c>
      <c r="E1481" s="1" t="str">
        <f t="shared" si="449"/>
        <v>治疗费</v>
      </c>
    </row>
    <row r="1482" spans="1:5">
      <c r="A1482" s="1" t="str">
        <f>"膝关节骨性关节炎推拿治疗"</f>
        <v>膝关节骨性关节炎推拿治疗</v>
      </c>
      <c r="B1482" s="1">
        <v>42</v>
      </c>
      <c r="C1482" s="1" t="str">
        <f>"项"</f>
        <v>项</v>
      </c>
      <c r="D1482" s="1" t="str">
        <f t="shared" si="455"/>
        <v>次</v>
      </c>
      <c r="E1482" s="1" t="str">
        <f t="shared" si="449"/>
        <v>治疗费</v>
      </c>
    </row>
    <row r="1483" spans="1:5">
      <c r="A1483" s="1" t="str">
        <f>"内科疾病推拿治疗"</f>
        <v>内科疾病推拿治疗</v>
      </c>
      <c r="B1483" s="1">
        <v>49</v>
      </c>
      <c r="C1483" s="1" t="str">
        <f t="shared" ref="C1483:C1486" si="456">"次"</f>
        <v>次</v>
      </c>
      <c r="D1483" s="1" t="str">
        <f t="shared" si="455"/>
        <v>次</v>
      </c>
      <c r="E1483" s="1" t="str">
        <f t="shared" si="449"/>
        <v>治疗费</v>
      </c>
    </row>
    <row r="1484" spans="1:5">
      <c r="A1484" s="1" t="str">
        <f>"内科疾病推拿治疗超过10分钟加收"</f>
        <v>内科疾病推拿治疗超过10分钟加收</v>
      </c>
      <c r="B1484" s="1">
        <v>21</v>
      </c>
      <c r="C1484" s="1" t="str">
        <f t="shared" si="456"/>
        <v>次</v>
      </c>
      <c r="D1484" s="1" t="str">
        <f t="shared" si="455"/>
        <v>次</v>
      </c>
      <c r="E1484" s="1" t="str">
        <f t="shared" si="449"/>
        <v>治疗费</v>
      </c>
    </row>
    <row r="1485" spans="1:5">
      <c r="A1485" s="1" t="str">
        <f>"其他推拿治疗"</f>
        <v>其他推拿治疗</v>
      </c>
      <c r="B1485" s="1">
        <v>42</v>
      </c>
      <c r="C1485" s="1" t="str">
        <f t="shared" si="456"/>
        <v>次</v>
      </c>
      <c r="D1485" s="1" t="str">
        <f>"每次"</f>
        <v>每次</v>
      </c>
      <c r="E1485" s="1" t="str">
        <f t="shared" si="449"/>
        <v>治疗费</v>
      </c>
    </row>
    <row r="1486" spans="1:5">
      <c r="A1486" s="1" t="str">
        <f>"小儿捏脊治疗"</f>
        <v>小儿捏脊治疗</v>
      </c>
      <c r="B1486" s="1">
        <v>30</v>
      </c>
      <c r="C1486" s="1" t="str">
        <f t="shared" si="456"/>
        <v>次</v>
      </c>
      <c r="D1486" s="1" t="str">
        <f t="shared" ref="D1486:D1498" si="457">"次"</f>
        <v>次</v>
      </c>
      <c r="E1486" s="1" t="str">
        <f t="shared" si="449"/>
        <v>治疗费</v>
      </c>
    </row>
    <row r="1487" spans="1:5">
      <c r="A1487" s="1" t="str">
        <f>"脊柱小关节紊乱推拿治疗"</f>
        <v>脊柱小关节紊乱推拿治疗</v>
      </c>
      <c r="B1487" s="1">
        <v>43</v>
      </c>
      <c r="C1487" s="1" t="str">
        <f>"部位"</f>
        <v>部位</v>
      </c>
      <c r="D1487" s="1" t="str">
        <f>"每部位"</f>
        <v>每部位</v>
      </c>
      <c r="E1487" s="1" t="str">
        <f t="shared" si="449"/>
        <v>治疗费</v>
      </c>
    </row>
    <row r="1488" spans="1:5">
      <c r="A1488" s="1" t="str">
        <f>"小儿斜颈推拿治疗"</f>
        <v>小儿斜颈推拿治疗</v>
      </c>
      <c r="B1488" s="1">
        <v>33</v>
      </c>
      <c r="C1488" s="1" t="str">
        <f>"部位"</f>
        <v>部位</v>
      </c>
      <c r="D1488" s="1" t="str">
        <f t="shared" si="457"/>
        <v>次</v>
      </c>
      <c r="E1488" s="1" t="str">
        <f t="shared" si="449"/>
        <v>治疗费</v>
      </c>
    </row>
    <row r="1489" spans="1:5">
      <c r="A1489" s="1" t="str">
        <f>"环枢关节半脱位推拿治疗"</f>
        <v>环枢关节半脱位推拿治疗</v>
      </c>
      <c r="B1489" s="1">
        <v>82</v>
      </c>
      <c r="C1489" s="1" t="str">
        <f t="shared" ref="C1489:C1498" si="458">"次"</f>
        <v>次</v>
      </c>
      <c r="D1489" s="1" t="str">
        <f t="shared" si="457"/>
        <v>次</v>
      </c>
      <c r="E1489" s="1" t="str">
        <f t="shared" si="449"/>
        <v>治疗费</v>
      </c>
    </row>
    <row r="1490" spans="1:5">
      <c r="A1490" s="1" t="str">
        <f>"直肠脱出复位治疗"</f>
        <v>直肠脱出复位治疗</v>
      </c>
      <c r="B1490" s="1">
        <v>172</v>
      </c>
      <c r="C1490" s="1" t="str">
        <f t="shared" si="458"/>
        <v>次</v>
      </c>
      <c r="D1490" s="1" t="str">
        <f t="shared" si="457"/>
        <v>次</v>
      </c>
      <c r="E1490" s="1" t="str">
        <f t="shared" ref="E1490:E1498" si="459">"手术治疗费"</f>
        <v>手术治疗费</v>
      </c>
    </row>
    <row r="1491" spans="1:5">
      <c r="A1491" s="1" t="str">
        <f>"直肠周围硬化剂注射治疗"</f>
        <v>直肠周围硬化剂注射治疗</v>
      </c>
      <c r="B1491" s="1">
        <v>160</v>
      </c>
      <c r="C1491" s="1" t="str">
        <f t="shared" si="458"/>
        <v>次</v>
      </c>
      <c r="D1491" s="1" t="str">
        <f t="shared" si="457"/>
        <v>次</v>
      </c>
      <c r="E1491" s="1" t="str">
        <f t="shared" si="459"/>
        <v>手术治疗费</v>
      </c>
    </row>
    <row r="1492" spans="1:5">
      <c r="A1492" s="1" t="str">
        <f>"内痔硬化剂注射治疗(枯痔治疗)"</f>
        <v>内痔硬化剂注射治疗(枯痔治疗)</v>
      </c>
      <c r="B1492" s="1">
        <v>62</v>
      </c>
      <c r="C1492" s="1" t="str">
        <f t="shared" si="458"/>
        <v>次</v>
      </c>
      <c r="D1492" s="1" t="str">
        <f t="shared" si="457"/>
        <v>次</v>
      </c>
      <c r="E1492" s="1" t="str">
        <f>"治疗费"</f>
        <v>治疗费</v>
      </c>
    </row>
    <row r="1493" spans="1:5">
      <c r="A1493" s="1" t="str">
        <f>"高位复杂肛瘘挂线治疗"</f>
        <v>高位复杂肛瘘挂线治疗</v>
      </c>
      <c r="B1493" s="1">
        <v>660</v>
      </c>
      <c r="C1493" s="1" t="str">
        <f t="shared" si="458"/>
        <v>次</v>
      </c>
      <c r="D1493" s="1" t="str">
        <f t="shared" si="457"/>
        <v>次</v>
      </c>
      <c r="E1493" s="1" t="str">
        <f t="shared" si="459"/>
        <v>手术治疗费</v>
      </c>
    </row>
    <row r="1494" spans="1:5">
      <c r="A1494" s="1" t="str">
        <f>"血栓性外痔切除术"</f>
        <v>血栓性外痔切除术</v>
      </c>
      <c r="B1494" s="1">
        <v>350</v>
      </c>
      <c r="C1494" s="1" t="str">
        <f t="shared" si="458"/>
        <v>次</v>
      </c>
      <c r="D1494" s="1" t="str">
        <f t="shared" si="457"/>
        <v>次</v>
      </c>
      <c r="E1494" s="1" t="str">
        <f t="shared" si="459"/>
        <v>手术治疗费</v>
      </c>
    </row>
    <row r="1495" spans="1:5">
      <c r="A1495" s="1" t="str">
        <f>"环状混合痔切除术"</f>
        <v>环状混合痔切除术</v>
      </c>
      <c r="B1495" s="1">
        <v>600</v>
      </c>
      <c r="C1495" s="1" t="str">
        <f t="shared" si="458"/>
        <v>次</v>
      </c>
      <c r="D1495" s="1" t="str">
        <f t="shared" si="457"/>
        <v>次</v>
      </c>
      <c r="E1495" s="1" t="str">
        <f t="shared" si="459"/>
        <v>手术治疗费</v>
      </c>
    </row>
    <row r="1496" spans="1:5">
      <c r="A1496" s="1" t="str">
        <f>"混合痔外剥内扎术"</f>
        <v>混合痔外剥内扎术</v>
      </c>
      <c r="B1496" s="1">
        <v>480</v>
      </c>
      <c r="C1496" s="1" t="str">
        <f t="shared" si="458"/>
        <v>次</v>
      </c>
      <c r="D1496" s="1" t="str">
        <f t="shared" si="457"/>
        <v>次</v>
      </c>
      <c r="E1496" s="1" t="str">
        <f t="shared" si="459"/>
        <v>手术治疗费</v>
      </c>
    </row>
    <row r="1497" spans="1:5">
      <c r="A1497" s="1" t="str">
        <f>"肛周脓肿一次性根治术"</f>
        <v>肛周脓肿一次性根治术</v>
      </c>
      <c r="B1497" s="1">
        <v>407</v>
      </c>
      <c r="C1497" s="1" t="str">
        <f t="shared" si="458"/>
        <v>次</v>
      </c>
      <c r="D1497" s="1" t="str">
        <f t="shared" si="457"/>
        <v>次</v>
      </c>
      <c r="E1497" s="1" t="str">
        <f t="shared" si="459"/>
        <v>手术治疗费</v>
      </c>
    </row>
    <row r="1498" spans="1:5">
      <c r="A1498" s="1" t="str">
        <f>"直肠前突修补术"</f>
        <v>直肠前突修补术</v>
      </c>
      <c r="B1498" s="1">
        <v>746</v>
      </c>
      <c r="C1498" s="1" t="str">
        <f t="shared" si="458"/>
        <v>次</v>
      </c>
      <c r="D1498" s="1" t="str">
        <f t="shared" si="457"/>
        <v>次</v>
      </c>
      <c r="E1498" s="1" t="str">
        <f t="shared" si="459"/>
        <v>手术治疗费</v>
      </c>
    </row>
    <row r="1499" spans="1:5">
      <c r="A1499" s="1" t="str">
        <f>"小针刀治疗"</f>
        <v>小针刀治疗</v>
      </c>
      <c r="B1499" s="1">
        <v>72</v>
      </c>
      <c r="C1499" s="1" t="str">
        <f>"每个部位"</f>
        <v>每个部位</v>
      </c>
      <c r="D1499" s="1" t="str">
        <f>"每个部位"</f>
        <v>每个部位</v>
      </c>
      <c r="E1499" s="1" t="str">
        <f t="shared" ref="E1499:E1502" si="460">"治疗费"</f>
        <v>治疗费</v>
      </c>
    </row>
    <row r="1500" spans="1:5">
      <c r="A1500" s="1" t="str">
        <f>"耳咽中药吹粉治疗"</f>
        <v>耳咽中药吹粉治疗</v>
      </c>
      <c r="B1500" s="1">
        <v>10</v>
      </c>
      <c r="C1500" s="1" t="str">
        <f t="shared" ref="C1500:C1505" si="461">"次"</f>
        <v>次</v>
      </c>
      <c r="D1500" s="1" t="str">
        <f t="shared" ref="D1500:D1505" si="462">"次"</f>
        <v>次</v>
      </c>
      <c r="E1500" s="1" t="str">
        <f t="shared" si="460"/>
        <v>治疗费</v>
      </c>
    </row>
    <row r="1501" spans="1:5">
      <c r="A1501" s="1" t="str">
        <f>"中药直肠滴入治疗"</f>
        <v>中药直肠滴入治疗</v>
      </c>
      <c r="B1501" s="1">
        <v>10</v>
      </c>
      <c r="C1501" s="1" t="str">
        <f t="shared" si="461"/>
        <v>次</v>
      </c>
      <c r="D1501" s="1" t="str">
        <f t="shared" si="462"/>
        <v>次</v>
      </c>
      <c r="E1501" s="1" t="str">
        <f t="shared" si="460"/>
        <v>治疗费</v>
      </c>
    </row>
    <row r="1502" spans="1:5">
      <c r="A1502" s="1" t="str">
        <f>"刮痧治疗"</f>
        <v>刮痧治疗</v>
      </c>
      <c r="B1502" s="1">
        <v>19</v>
      </c>
      <c r="C1502" s="1" t="str">
        <f>"每个部位"</f>
        <v>每个部位</v>
      </c>
      <c r="D1502" s="1" t="str">
        <f>"每个部位"</f>
        <v>每个部位</v>
      </c>
      <c r="E1502" s="1" t="str">
        <f t="shared" si="460"/>
        <v>治疗费</v>
      </c>
    </row>
    <row r="1503" spans="1:5">
      <c r="A1503" s="1" t="str">
        <f>"辩证施膳指导"</f>
        <v>辩证施膳指导</v>
      </c>
      <c r="B1503" s="1">
        <v>20</v>
      </c>
      <c r="C1503" s="1" t="str">
        <f>"项"</f>
        <v>项</v>
      </c>
      <c r="D1503" s="1" t="str">
        <f>"项"</f>
        <v>项</v>
      </c>
      <c r="E1503" s="1" t="str">
        <f>"其他费用"</f>
        <v>其他费用</v>
      </c>
    </row>
    <row r="1504" spans="1:5">
      <c r="A1504" s="1" t="str">
        <f>"中医保健配方、膏药配制费"</f>
        <v>中医保健配方、膏药配制费</v>
      </c>
      <c r="B1504" s="1">
        <v>300</v>
      </c>
      <c r="C1504" s="1" t="str">
        <f>"/"</f>
        <v>/</v>
      </c>
      <c r="D1504" s="1" t="str">
        <f t="shared" si="462"/>
        <v>次</v>
      </c>
      <c r="E1504" s="1" t="str">
        <f>"服务收入"</f>
        <v>服务收入</v>
      </c>
    </row>
    <row r="1505" spans="1:5">
      <c r="A1505" s="1" t="str">
        <f>"煎药机煎药"</f>
        <v>煎药机煎药</v>
      </c>
      <c r="B1505" s="1">
        <v>2.2</v>
      </c>
      <c r="C1505" s="1" t="str">
        <f t="shared" si="461"/>
        <v>次</v>
      </c>
      <c r="D1505" s="1" t="str">
        <f t="shared" si="462"/>
        <v>次</v>
      </c>
      <c r="E1505" s="1" t="str">
        <f>"治疗费"</f>
        <v>治疗费</v>
      </c>
    </row>
    <row r="1506" spans="1:5">
      <c r="A1506" s="1" t="str">
        <f>"中医体质辨识"</f>
        <v>中医体质辨识</v>
      </c>
      <c r="B1506" s="1">
        <v>120</v>
      </c>
      <c r="C1506" s="1" t="str">
        <f>"项"</f>
        <v>项</v>
      </c>
      <c r="D1506" s="1" t="str">
        <f>"项"</f>
        <v>项</v>
      </c>
      <c r="E1506" s="1" t="str">
        <f>"检查费"</f>
        <v>检查费</v>
      </c>
    </row>
    <row r="1507" spans="1:5">
      <c r="A1507" s="1" t="str">
        <f>"氟导入儿童龋齿预防"</f>
        <v>氟导入儿童龋齿预防</v>
      </c>
      <c r="B1507" s="1">
        <v>10</v>
      </c>
      <c r="C1507" s="1" t="str">
        <f t="shared" ref="C1507:C1512" si="463">"次"</f>
        <v>次</v>
      </c>
      <c r="D1507" s="1" t="str">
        <f t="shared" ref="D1507:D1512" si="464">"次"</f>
        <v>次</v>
      </c>
      <c r="E1507" s="1" t="str">
        <f>"治疗费"</f>
        <v>治疗费</v>
      </c>
    </row>
    <row r="1508" spans="1:5">
      <c r="A1508" s="1" t="str">
        <f>"微创复杂牙拔除术"</f>
        <v>微创复杂牙拔除术</v>
      </c>
      <c r="B1508" s="1">
        <v>166</v>
      </c>
      <c r="C1508" s="1" t="str">
        <f t="shared" si="463"/>
        <v>次</v>
      </c>
      <c r="D1508" s="1" t="str">
        <f>"每牙"</f>
        <v>每牙</v>
      </c>
      <c r="E1508" s="1" t="str">
        <f>"其他手术费(门急诊小手术)"</f>
        <v>其他手术费(门急诊小手术)</v>
      </c>
    </row>
    <row r="1509" spans="1:5">
      <c r="A1509" s="1" t="str">
        <f>"人免疫缺陷病毒抗体测定(Anti-HIV)（减免）"</f>
        <v>人免疫缺陷病毒抗体测定(Anti-HIV)（减免）</v>
      </c>
      <c r="B1509" s="1" t="str">
        <f t="shared" ref="B1509:B1515" si="465">"0"</f>
        <v>0</v>
      </c>
      <c r="C1509" s="1" t="str">
        <f t="shared" si="463"/>
        <v>次</v>
      </c>
      <c r="D1509" s="1" t="str">
        <f t="shared" ref="D1509:D1514" si="466">"项"</f>
        <v>项</v>
      </c>
      <c r="E1509" s="1" t="str">
        <f t="shared" ref="E1509:E1514" si="467">"检验费"</f>
        <v>检验费</v>
      </c>
    </row>
    <row r="1510" spans="1:5">
      <c r="A1510" s="1" t="str">
        <f>"彩色多普勒超声常规检查"</f>
        <v>彩色多普勒超声常规检查</v>
      </c>
      <c r="B1510" s="1">
        <v>50</v>
      </c>
      <c r="C1510" s="1" t="str">
        <f t="shared" si="463"/>
        <v>次</v>
      </c>
      <c r="D1510" s="1" t="str">
        <f>"每部位"</f>
        <v>每部位</v>
      </c>
      <c r="E1510" s="1" t="str">
        <f>"彩超费"</f>
        <v>彩超费</v>
      </c>
    </row>
    <row r="1511" spans="1:5">
      <c r="A1511" s="1" t="str">
        <f>"超声弹性成像"</f>
        <v>超声弹性成像</v>
      </c>
      <c r="B1511" s="1">
        <v>45</v>
      </c>
      <c r="C1511" s="1" t="str">
        <f t="shared" si="463"/>
        <v>次</v>
      </c>
      <c r="D1511" s="1" t="str">
        <f t="shared" si="464"/>
        <v>次</v>
      </c>
      <c r="E1511" s="1" t="str">
        <f>"超声费"</f>
        <v>超声费</v>
      </c>
    </row>
    <row r="1512" spans="1:5">
      <c r="A1512" s="1" t="str">
        <f>"数字化摄影(DR)"</f>
        <v>数字化摄影(DR)</v>
      </c>
      <c r="B1512" s="1" t="str">
        <f t="shared" si="465"/>
        <v>0</v>
      </c>
      <c r="C1512" s="1" t="str">
        <f t="shared" si="463"/>
        <v>次</v>
      </c>
      <c r="D1512" s="1" t="str">
        <f t="shared" si="464"/>
        <v>次</v>
      </c>
      <c r="E1512" s="1" t="str">
        <f>"检查费"</f>
        <v>检查费</v>
      </c>
    </row>
    <row r="1513" spans="1:5">
      <c r="A1513" s="1" t="str">
        <f>"血清总胆红素测定（免费）"</f>
        <v>血清总胆红素测定（免费）</v>
      </c>
      <c r="B1513" s="1" t="str">
        <f t="shared" si="465"/>
        <v>0</v>
      </c>
      <c r="C1513" s="1" t="str">
        <f t="shared" ref="C1513:C1521" si="468">"项"</f>
        <v>项</v>
      </c>
      <c r="D1513" s="1" t="str">
        <f t="shared" si="466"/>
        <v>项</v>
      </c>
      <c r="E1513" s="1" t="str">
        <f t="shared" si="467"/>
        <v>检验费</v>
      </c>
    </row>
    <row r="1514" spans="1:5">
      <c r="A1514" s="1" t="str">
        <f>"ABO血型鉴定"</f>
        <v>ABO血型鉴定</v>
      </c>
      <c r="B1514" s="1" t="str">
        <f t="shared" si="465"/>
        <v>0</v>
      </c>
      <c r="C1514" s="1" t="str">
        <f t="shared" si="468"/>
        <v>项</v>
      </c>
      <c r="D1514" s="1" t="str">
        <f t="shared" si="466"/>
        <v>项</v>
      </c>
      <c r="E1514" s="1" t="str">
        <f t="shared" si="467"/>
        <v>检验费</v>
      </c>
    </row>
    <row r="1515" spans="1:5">
      <c r="A1515" s="1" t="str">
        <f>"骨密度测定（签约）"</f>
        <v>骨密度测定（签约）</v>
      </c>
      <c r="B1515" s="1" t="str">
        <f t="shared" si="465"/>
        <v>0</v>
      </c>
      <c r="C1515" s="1" t="str">
        <f>"/"</f>
        <v>/</v>
      </c>
      <c r="D1515" s="1" t="str">
        <f>"次"</f>
        <v>次</v>
      </c>
      <c r="E1515" s="1" t="str">
        <f>"检查费"</f>
        <v>检查费</v>
      </c>
    </row>
    <row r="1516" spans="1:5">
      <c r="A1516" s="1" t="str">
        <f>"血同型半胱氨酸测定各种免疫学方法（签约）"</f>
        <v>血同型半胱氨酸测定各种免疫学方法（签约）</v>
      </c>
      <c r="B1516" s="1">
        <v>30</v>
      </c>
      <c r="C1516" s="1" t="str">
        <f>"/"</f>
        <v>/</v>
      </c>
      <c r="D1516" s="1" t="str">
        <f>"次"</f>
        <v>次</v>
      </c>
      <c r="E1516" s="1" t="str">
        <f>"治疗费"</f>
        <v>治疗费</v>
      </c>
    </row>
    <row r="1517" spans="1:5">
      <c r="A1517" s="1" t="str">
        <f>"艾滋病抗体测定(妇科减免）"</f>
        <v>艾滋病抗体测定(妇科减免）</v>
      </c>
      <c r="B1517" s="1" t="str">
        <f t="shared" ref="B1517:B1519" si="469">"0"</f>
        <v>0</v>
      </c>
      <c r="C1517" s="1" t="str">
        <f t="shared" si="468"/>
        <v>项</v>
      </c>
      <c r="D1517" s="1" t="str">
        <f t="shared" ref="D1517:D1521" si="470">"项"</f>
        <v>项</v>
      </c>
      <c r="E1517" s="1" t="str">
        <f t="shared" ref="E1517:E1521" si="471">"检验费"</f>
        <v>检验费</v>
      </c>
    </row>
    <row r="1518" spans="1:5">
      <c r="A1518" s="1" t="str">
        <f>"乙型肝炎表面抗体测定(Anti-HBs)ELISA法（妇科减免）"</f>
        <v>乙型肝炎表面抗体测定(Anti-HBs)ELISA法（妇科减免）</v>
      </c>
      <c r="B1518" s="1" t="str">
        <f t="shared" si="469"/>
        <v>0</v>
      </c>
      <c r="C1518" s="1" t="str">
        <f t="shared" si="468"/>
        <v>项</v>
      </c>
      <c r="D1518" s="1" t="str">
        <f t="shared" si="470"/>
        <v>项</v>
      </c>
      <c r="E1518" s="1" t="str">
        <f t="shared" si="471"/>
        <v>检验费</v>
      </c>
    </row>
    <row r="1519" spans="1:5">
      <c r="A1519" s="1" t="str">
        <f>"乙型肝炎e抗体测定(Anti-HBe)免疫学法（妇科减免）"</f>
        <v>乙型肝炎e抗体测定(Anti-HBe)免疫学法（妇科减免）</v>
      </c>
      <c r="B1519" s="1" t="str">
        <f t="shared" si="469"/>
        <v>0</v>
      </c>
      <c r="C1519" s="1" t="str">
        <f t="shared" si="468"/>
        <v>项</v>
      </c>
      <c r="D1519" s="1" t="str">
        <f t="shared" si="470"/>
        <v>项</v>
      </c>
      <c r="E1519" s="1" t="str">
        <f t="shared" si="471"/>
        <v>检验费</v>
      </c>
    </row>
    <row r="1520" spans="1:5">
      <c r="A1520" s="1" t="str">
        <f>"电脑血糖监测（签约服务包专用）"</f>
        <v>电脑血糖监测（签约服务包专用）</v>
      </c>
      <c r="B1520" s="1">
        <v>5</v>
      </c>
      <c r="C1520" s="1" t="str">
        <f t="shared" si="468"/>
        <v>项</v>
      </c>
      <c r="D1520" s="1" t="str">
        <f t="shared" si="470"/>
        <v>项</v>
      </c>
      <c r="E1520" s="1" t="str">
        <f t="shared" si="471"/>
        <v>检验费</v>
      </c>
    </row>
    <row r="1521" spans="1:5">
      <c r="A1521" s="1" t="str">
        <f>"眼底照相（签约服务包专用）"</f>
        <v>眼底照相（签约服务包专用）</v>
      </c>
      <c r="B1521" s="1">
        <v>5</v>
      </c>
      <c r="C1521" s="1" t="str">
        <f t="shared" si="468"/>
        <v>项</v>
      </c>
      <c r="D1521" s="1" t="str">
        <f t="shared" si="470"/>
        <v>项</v>
      </c>
      <c r="E1521" s="1" t="str">
        <f t="shared" si="471"/>
        <v>检验费</v>
      </c>
    </row>
    <row r="1522" spans="1:5">
      <c r="A1522" s="1" t="str">
        <f>"彩色胶片打印（签约服务包专用）"</f>
        <v>彩色胶片打印（签约服务包专用）</v>
      </c>
      <c r="B1522" s="1">
        <v>5</v>
      </c>
      <c r="C1522" s="1" t="str">
        <f>"张"</f>
        <v>张</v>
      </c>
      <c r="D1522" s="1" t="str">
        <f>"张"</f>
        <v>张</v>
      </c>
      <c r="E1522" s="1" t="str">
        <f>"其他费用"</f>
        <v>其他费用</v>
      </c>
    </row>
    <row r="1523" spans="1:5">
      <c r="A1523" s="1" t="str">
        <f>"尿液分析（妇儿保专用）"</f>
        <v>尿液分析（妇儿保专用）</v>
      </c>
      <c r="B1523" s="1" t="str">
        <f t="shared" ref="B1523:B1526" si="472">"0"</f>
        <v>0</v>
      </c>
      <c r="C1523" s="1" t="str">
        <f>"项"</f>
        <v>项</v>
      </c>
      <c r="D1523" s="1" t="str">
        <f>"项"</f>
        <v>项</v>
      </c>
      <c r="E1523" s="1" t="str">
        <f t="shared" ref="E1523:E1525" si="473">"检验费"</f>
        <v>检验费</v>
      </c>
    </row>
    <row r="1524" spans="1:5">
      <c r="A1524" s="1" t="str">
        <f>"血常规（妇儿保专用）"</f>
        <v>血常规（妇儿保专用）</v>
      </c>
      <c r="B1524" s="1" t="str">
        <f t="shared" si="472"/>
        <v>0</v>
      </c>
      <c r="C1524" s="1" t="str">
        <f>"项"</f>
        <v>项</v>
      </c>
      <c r="D1524" s="1" t="str">
        <f>"项"</f>
        <v>项</v>
      </c>
      <c r="E1524" s="1" t="str">
        <f t="shared" si="473"/>
        <v>检验费</v>
      </c>
    </row>
    <row r="1525" spans="1:5">
      <c r="A1525" s="1" t="str">
        <f>"尿微量白蛋白测定化学发光法（签约服务包专用）"</f>
        <v>尿微量白蛋白测定化学发光法（签约服务包专用）</v>
      </c>
      <c r="B1525" s="1" t="str">
        <f t="shared" si="472"/>
        <v>0</v>
      </c>
      <c r="C1525" s="1" t="str">
        <f>"项"</f>
        <v>项</v>
      </c>
      <c r="D1525" s="1" t="str">
        <f>"项"</f>
        <v>项</v>
      </c>
      <c r="E1525" s="1" t="str">
        <f t="shared" si="473"/>
        <v>检验费</v>
      </c>
    </row>
    <row r="1526" spans="1:5">
      <c r="A1526" s="1" t="str">
        <f>"视力筛查（签约服务包专用）"</f>
        <v>视力筛查（签约服务包专用）</v>
      </c>
      <c r="B1526" s="1" t="str">
        <f t="shared" si="472"/>
        <v>0</v>
      </c>
      <c r="C1526" s="1" t="str">
        <f>"项"</f>
        <v>项</v>
      </c>
      <c r="D1526" s="1" t="str">
        <f>"项"</f>
        <v>项</v>
      </c>
      <c r="E1526" s="1" t="str">
        <f>"检查费"</f>
        <v>检查费</v>
      </c>
    </row>
    <row r="1527" spans="1:5">
      <c r="A1527" s="1" t="str">
        <f>"听力筛选试验（签约服务包专用）"</f>
        <v>听力筛选试验（签约服务包专用）</v>
      </c>
      <c r="B1527" s="1">
        <v>5</v>
      </c>
      <c r="C1527" s="1" t="str">
        <f>"项"</f>
        <v>项</v>
      </c>
      <c r="D1527" s="1" t="str">
        <f>"项"</f>
        <v>项</v>
      </c>
      <c r="E1527" s="1" t="str">
        <f>"检查费"</f>
        <v>检查费</v>
      </c>
    </row>
    <row r="1528" spans="1:5">
      <c r="A1528" s="1" t="str">
        <f>"梅毒检测（妇保专用）"</f>
        <v>梅毒检测（妇保专用）</v>
      </c>
      <c r="B1528" s="1">
        <v>15</v>
      </c>
      <c r="C1528" s="1" t="str">
        <f>"项"</f>
        <v>项</v>
      </c>
      <c r="D1528" s="1" t="str">
        <f>"项"</f>
        <v>项</v>
      </c>
      <c r="E1528" s="1" t="str">
        <f>"检验费"</f>
        <v>检验费</v>
      </c>
    </row>
    <row r="1529" spans="1:5">
      <c r="A1529" s="1" t="str">
        <f>"阴道分泌物检查"</f>
        <v>阴道分泌物检查</v>
      </c>
      <c r="B1529" s="1" t="str">
        <f t="shared" ref="B1529:B1532" si="474">"0"</f>
        <v>0</v>
      </c>
      <c r="C1529" s="1" t="str">
        <f t="shared" ref="C1529:C1540" si="475">"项"</f>
        <v>项</v>
      </c>
      <c r="D1529" s="1" t="str">
        <f t="shared" ref="D1529:D1540" si="476">"项"</f>
        <v>项</v>
      </c>
      <c r="E1529" s="1" t="str">
        <f>"检验费"</f>
        <v>检验费</v>
      </c>
    </row>
    <row r="1530" spans="1:5">
      <c r="A1530" s="1" t="str">
        <f>"尿素氮"</f>
        <v>尿素氮</v>
      </c>
      <c r="B1530" s="1" t="str">
        <f t="shared" si="474"/>
        <v>0</v>
      </c>
      <c r="C1530" s="1" t="str">
        <f t="shared" si="475"/>
        <v>项</v>
      </c>
      <c r="D1530" s="1" t="str">
        <f t="shared" si="476"/>
        <v>项</v>
      </c>
      <c r="E1530" s="1" t="str">
        <f>"检验费"</f>
        <v>检验费</v>
      </c>
    </row>
    <row r="1531" spans="1:5">
      <c r="A1531" s="1" t="str">
        <f>"体格检查"</f>
        <v>体格检查</v>
      </c>
      <c r="B1531" s="1" t="str">
        <f t="shared" si="474"/>
        <v>0</v>
      </c>
      <c r="C1531" s="1" t="str">
        <f t="shared" si="475"/>
        <v>项</v>
      </c>
      <c r="D1531" s="1" t="str">
        <f t="shared" si="476"/>
        <v>项</v>
      </c>
      <c r="E1531" s="1" t="str">
        <f t="shared" ref="E1531:E1533" si="477">"检查费"</f>
        <v>检查费</v>
      </c>
    </row>
    <row r="1532" spans="1:5">
      <c r="A1532" s="1" t="str">
        <f>"妇科检查"</f>
        <v>妇科检查</v>
      </c>
      <c r="B1532" s="1" t="str">
        <f t="shared" si="474"/>
        <v>0</v>
      </c>
      <c r="C1532" s="1" t="str">
        <f t="shared" si="475"/>
        <v>项</v>
      </c>
      <c r="D1532" s="1" t="str">
        <f t="shared" si="476"/>
        <v>项</v>
      </c>
      <c r="E1532" s="1" t="str">
        <f t="shared" si="477"/>
        <v>检查费</v>
      </c>
    </row>
    <row r="1533" spans="1:5">
      <c r="A1533" s="1" t="str">
        <f>"胸片"</f>
        <v>胸片</v>
      </c>
      <c r="B1533" s="1">
        <v>34</v>
      </c>
      <c r="C1533" s="1" t="str">
        <f t="shared" si="475"/>
        <v>项</v>
      </c>
      <c r="D1533" s="1" t="str">
        <f t="shared" si="476"/>
        <v>项</v>
      </c>
      <c r="E1533" s="1" t="str">
        <f t="shared" si="477"/>
        <v>检查费</v>
      </c>
    </row>
    <row r="1534" spans="1:5">
      <c r="A1534" s="1" t="str">
        <f>"糖尿病个性服务包"</f>
        <v>糖尿病个性服务包</v>
      </c>
      <c r="B1534" s="1">
        <v>60</v>
      </c>
      <c r="C1534" s="1" t="str">
        <f t="shared" si="475"/>
        <v>项</v>
      </c>
      <c r="D1534" s="1" t="str">
        <f t="shared" si="476"/>
        <v>项</v>
      </c>
      <c r="E1534" s="1" t="str">
        <f>"治疗费"</f>
        <v>治疗费</v>
      </c>
    </row>
    <row r="1535" spans="1:5">
      <c r="A1535" s="1" t="str">
        <f>"足部感觉阈值测定（签约服务包专用）"</f>
        <v>足部感觉阈值测定（签约服务包专用）</v>
      </c>
      <c r="B1535" s="1">
        <v>5</v>
      </c>
      <c r="C1535" s="1" t="str">
        <f t="shared" si="475"/>
        <v>项</v>
      </c>
      <c r="D1535" s="1" t="str">
        <f t="shared" si="476"/>
        <v>项</v>
      </c>
      <c r="E1535" s="1" t="str">
        <f>"检查费"</f>
        <v>检查费</v>
      </c>
    </row>
    <row r="1536" spans="1:5">
      <c r="A1536" s="1" t="str">
        <f>"血清谷丙转氨酶"</f>
        <v>血清谷丙转氨酶</v>
      </c>
      <c r="B1536" s="1" t="str">
        <f t="shared" ref="B1536:B1540" si="478">"0"</f>
        <v>0</v>
      </c>
      <c r="C1536" s="1" t="str">
        <f t="shared" si="475"/>
        <v>项</v>
      </c>
      <c r="D1536" s="1" t="str">
        <f t="shared" si="476"/>
        <v>项</v>
      </c>
      <c r="E1536" s="1" t="str">
        <f t="shared" ref="E1536:E1540" si="479">"检验费"</f>
        <v>检验费</v>
      </c>
    </row>
    <row r="1537" spans="1:5">
      <c r="A1537" s="1" t="str">
        <f>"结合胆红素"</f>
        <v>结合胆红素</v>
      </c>
      <c r="B1537" s="1" t="str">
        <f t="shared" si="478"/>
        <v>0</v>
      </c>
      <c r="C1537" s="1" t="str">
        <f t="shared" si="475"/>
        <v>项</v>
      </c>
      <c r="D1537" s="1" t="str">
        <f t="shared" si="476"/>
        <v>项</v>
      </c>
      <c r="E1537" s="1" t="str">
        <f t="shared" si="479"/>
        <v>检验费</v>
      </c>
    </row>
    <row r="1538" spans="1:5">
      <c r="A1538" s="1" t="str">
        <f>"家庭医生签约基本服务包"</f>
        <v>家庭医生签约基本服务包</v>
      </c>
      <c r="B1538" s="1">
        <v>15</v>
      </c>
      <c r="C1538" s="1" t="str">
        <f t="shared" si="475"/>
        <v>项</v>
      </c>
      <c r="D1538" s="1" t="str">
        <f t="shared" si="476"/>
        <v>项</v>
      </c>
      <c r="E1538" s="1" t="str">
        <f>"签约服务费"</f>
        <v>签约服务费</v>
      </c>
    </row>
    <row r="1539" spans="1:5">
      <c r="A1539" s="1" t="str">
        <f>"血清谷草转氨酶"</f>
        <v>血清谷草转氨酶</v>
      </c>
      <c r="B1539" s="1" t="str">
        <f t="shared" si="478"/>
        <v>0</v>
      </c>
      <c r="C1539" s="1" t="str">
        <f t="shared" si="475"/>
        <v>项</v>
      </c>
      <c r="D1539" s="1" t="str">
        <f t="shared" si="476"/>
        <v>项</v>
      </c>
      <c r="E1539" s="1" t="str">
        <f t="shared" si="479"/>
        <v>检验费</v>
      </c>
    </row>
    <row r="1540" spans="1:5">
      <c r="A1540" s="1" t="str">
        <f>"乙型肝炎核心抗原测定"</f>
        <v>乙型肝炎核心抗原测定</v>
      </c>
      <c r="B1540" s="1" t="str">
        <f t="shared" si="478"/>
        <v>0</v>
      </c>
      <c r="C1540" s="1" t="str">
        <f t="shared" si="475"/>
        <v>项</v>
      </c>
      <c r="D1540" s="1" t="str">
        <f t="shared" si="476"/>
        <v>项</v>
      </c>
      <c r="E1540" s="1" t="str">
        <f t="shared" si="479"/>
        <v>检验费</v>
      </c>
    </row>
    <row r="1541" spans="1:5">
      <c r="A1541" s="1" t="str">
        <f>"血清肌酐"</f>
        <v>血清肌酐</v>
      </c>
      <c r="B1541" s="1" t="str">
        <f t="shared" ref="B1541:B1543" si="480">"0"</f>
        <v>0</v>
      </c>
      <c r="C1541" s="1" t="str">
        <f>"项"</f>
        <v>项</v>
      </c>
      <c r="D1541" s="1" t="str">
        <f>"项"</f>
        <v>项</v>
      </c>
      <c r="E1541" s="1" t="str">
        <f t="shared" ref="E1541:E1543" si="481">"检验费"</f>
        <v>检验费</v>
      </c>
    </row>
    <row r="1542" spans="1:5">
      <c r="A1542" s="1" t="str">
        <f>"乙肝表面抗原"</f>
        <v>乙肝表面抗原</v>
      </c>
      <c r="B1542" s="1" t="str">
        <f t="shared" si="480"/>
        <v>0</v>
      </c>
      <c r="C1542" s="1" t="str">
        <f>"项"</f>
        <v>项</v>
      </c>
      <c r="D1542" s="1" t="str">
        <f>"项"</f>
        <v>项</v>
      </c>
      <c r="E1542" s="1" t="str">
        <f t="shared" si="481"/>
        <v>检验费</v>
      </c>
    </row>
    <row r="1543" spans="1:5">
      <c r="A1543" s="1" t="str">
        <f>"乙型肝炎e抗原来测定"</f>
        <v>乙型肝炎e抗原来测定</v>
      </c>
      <c r="B1543" s="1" t="str">
        <f t="shared" si="480"/>
        <v>0</v>
      </c>
      <c r="C1543" s="1" t="str">
        <f>"项"</f>
        <v>项</v>
      </c>
      <c r="D1543" s="1" t="str">
        <f>"项"</f>
        <v>项</v>
      </c>
      <c r="E1543" s="1" t="str">
        <f t="shared" si="481"/>
        <v>检验费</v>
      </c>
    </row>
    <row r="1544" spans="1:5">
      <c r="A1544" s="1" t="str">
        <f>"高血压个性服务包"</f>
        <v>高血压个性服务包</v>
      </c>
      <c r="B1544" s="1">
        <v>60</v>
      </c>
      <c r="C1544" s="1" t="str">
        <f>"项"</f>
        <v>项</v>
      </c>
      <c r="D1544" s="1" t="str">
        <f>"项"</f>
        <v>项</v>
      </c>
      <c r="E1544" s="1" t="str">
        <f>"治疗费"</f>
        <v>治疗费</v>
      </c>
    </row>
    <row r="1545" spans="1:5">
      <c r="A1545" s="1" t="str">
        <f>"视力筛查2（签约服务包专用）"</f>
        <v>视力筛查2（签约服务包专用）</v>
      </c>
      <c r="B1545" s="1">
        <v>10</v>
      </c>
      <c r="C1545" s="1" t="str">
        <f>"项"</f>
        <v>项</v>
      </c>
      <c r="D1545" s="1" t="str">
        <f>"项"</f>
        <v>项</v>
      </c>
      <c r="E1545" s="1" t="str">
        <f t="shared" ref="E1545:E1549" si="482">"检验费"</f>
        <v>检验费</v>
      </c>
    </row>
    <row r="1546" spans="1:5">
      <c r="A1546" s="1" t="str">
        <f>"尿微量白蛋白测定2化学发光法（签约服务包专用）"</f>
        <v>尿微量白蛋白测定2化学发光法（签约服务包专用）</v>
      </c>
      <c r="B1546" s="1">
        <v>2</v>
      </c>
      <c r="C1546" s="1" t="str">
        <f>"项"</f>
        <v>项</v>
      </c>
      <c r="D1546" s="1" t="str">
        <f>"项"</f>
        <v>项</v>
      </c>
      <c r="E1546" s="1" t="str">
        <f t="shared" si="482"/>
        <v>检验费</v>
      </c>
    </row>
    <row r="1547" spans="1:5">
      <c r="A1547" s="1" t="str">
        <f>"梅毒螺旋体特异抗体测定（生育）"</f>
        <v>梅毒螺旋体特异抗体测定（生育）</v>
      </c>
      <c r="B1547" s="1" t="str">
        <f>"0"</f>
        <v>0</v>
      </c>
      <c r="C1547" s="1" t="str">
        <f>"项"</f>
        <v>项</v>
      </c>
      <c r="D1547" s="1" t="str">
        <f>"项"</f>
        <v>项</v>
      </c>
      <c r="E1547" s="1" t="str">
        <f t="shared" si="482"/>
        <v>检验费</v>
      </c>
    </row>
    <row r="1548" spans="1:5">
      <c r="A1548" s="1" t="str">
        <f>"糖化血红蛋白（签约包专用）"</f>
        <v>糖化血红蛋白（签约包专用）</v>
      </c>
      <c r="B1548" s="1">
        <v>45</v>
      </c>
      <c r="C1548" s="1" t="str">
        <f>"项"</f>
        <v>项</v>
      </c>
      <c r="D1548" s="1" t="str">
        <f>"项"</f>
        <v>项</v>
      </c>
      <c r="E1548" s="1" t="str">
        <f t="shared" si="482"/>
        <v>检验费</v>
      </c>
    </row>
    <row r="1549" spans="1:5">
      <c r="A1549" s="1" t="str">
        <f>"血细胞五分类（签约包专用）"</f>
        <v>血细胞五分类（签约包专用）</v>
      </c>
      <c r="B1549" s="1">
        <v>13</v>
      </c>
      <c r="C1549" s="1" t="str">
        <f>"项"</f>
        <v>项</v>
      </c>
      <c r="D1549" s="1" t="str">
        <f>"项"</f>
        <v>项</v>
      </c>
      <c r="E1549" s="1" t="str">
        <f t="shared" si="482"/>
        <v>检验费</v>
      </c>
    </row>
    <row r="1550" spans="1:5">
      <c r="A1550" s="1" t="str">
        <f>"等速肌力训练（签约包专用）"</f>
        <v>等速肌力训练（签约包专用）</v>
      </c>
      <c r="B1550" s="1">
        <v>8.6</v>
      </c>
      <c r="C1550" s="1" t="str">
        <f t="shared" ref="C1550:C1552" si="483">"次"</f>
        <v>次</v>
      </c>
      <c r="D1550" s="1" t="str">
        <f t="shared" ref="D1550:D1552" si="484">"次"</f>
        <v>次</v>
      </c>
      <c r="E1550" s="1" t="str">
        <f t="shared" ref="E1550:E1555" si="485">"治疗费"</f>
        <v>治疗费</v>
      </c>
    </row>
    <row r="1551" spans="1:5">
      <c r="A1551" s="1" t="str">
        <f>"液基薄层细胞制片术(TCT)（减免）"</f>
        <v>液基薄层细胞制片术(TCT)（减免）</v>
      </c>
      <c r="B1551" s="1">
        <v>75</v>
      </c>
      <c r="C1551" s="1" t="str">
        <f t="shared" si="483"/>
        <v>次</v>
      </c>
      <c r="D1551" s="1" t="str">
        <f t="shared" si="484"/>
        <v>次</v>
      </c>
      <c r="E1551" s="1" t="str">
        <f t="shared" ref="E1551:E1553" si="486">"检验费"</f>
        <v>检验费</v>
      </c>
    </row>
    <row r="1552" spans="1:5">
      <c r="A1552" s="1" t="str">
        <f>"人乳头瘤病毒(HPV)DNA检测（减免）"</f>
        <v>人乳头瘤病毒(HPV)DNA检测（减免）</v>
      </c>
      <c r="B1552" s="1">
        <v>200</v>
      </c>
      <c r="C1552" s="1" t="str">
        <f t="shared" si="483"/>
        <v>次</v>
      </c>
      <c r="D1552" s="1" t="str">
        <f t="shared" si="484"/>
        <v>次</v>
      </c>
      <c r="E1552" s="1" t="str">
        <f t="shared" si="486"/>
        <v>检验费</v>
      </c>
    </row>
    <row r="1553" spans="1:5">
      <c r="A1553" s="1" t="str">
        <f>"血糖测定"</f>
        <v>血糖测定</v>
      </c>
      <c r="B1553" s="1" t="str">
        <f t="shared" ref="B1553:B1556" si="487">"0"</f>
        <v>0</v>
      </c>
      <c r="C1553" s="1" t="str">
        <f t="shared" ref="C1553:C1556" si="488">"项"</f>
        <v>项</v>
      </c>
      <c r="D1553" s="1" t="str">
        <f t="shared" ref="D1553:D1556" si="489">"项"</f>
        <v>项</v>
      </c>
      <c r="E1553" s="1" t="str">
        <f t="shared" si="486"/>
        <v>检验费</v>
      </c>
    </row>
    <row r="1554" spans="1:5">
      <c r="A1554" s="1" t="str">
        <f>"宫内节育器放置术"</f>
        <v>宫内节育器放置术</v>
      </c>
      <c r="B1554" s="1" t="str">
        <f t="shared" si="487"/>
        <v>0</v>
      </c>
      <c r="C1554" s="1" t="str">
        <f t="shared" si="488"/>
        <v>项</v>
      </c>
      <c r="D1554" s="1" t="str">
        <f t="shared" si="489"/>
        <v>项</v>
      </c>
      <c r="E1554" s="1" t="str">
        <f t="shared" si="485"/>
        <v>治疗费</v>
      </c>
    </row>
    <row r="1555" spans="1:5">
      <c r="A1555" s="1" t="str">
        <f>"宫内节育器取出术"</f>
        <v>宫内节育器取出术</v>
      </c>
      <c r="B1555" s="1" t="str">
        <f t="shared" si="487"/>
        <v>0</v>
      </c>
      <c r="C1555" s="1" t="str">
        <f t="shared" si="488"/>
        <v>项</v>
      </c>
      <c r="D1555" s="1" t="str">
        <f t="shared" si="489"/>
        <v>项</v>
      </c>
      <c r="E1555" s="1" t="str">
        <f t="shared" si="485"/>
        <v>治疗费</v>
      </c>
    </row>
    <row r="1556" spans="1:5">
      <c r="A1556" s="1" t="str">
        <f>"计划生育手术"</f>
        <v>计划生育手术</v>
      </c>
      <c r="B1556" s="1" t="str">
        <f t="shared" si="487"/>
        <v>0</v>
      </c>
      <c r="C1556" s="1" t="str">
        <f t="shared" si="488"/>
        <v>项</v>
      </c>
      <c r="D1556" s="1" t="str">
        <f t="shared" si="489"/>
        <v>项</v>
      </c>
      <c r="E1556" s="1" t="str">
        <f>"手术费"</f>
        <v>手术费</v>
      </c>
    </row>
    <row r="1557" spans="1:5">
      <c r="A1557" s="1" t="str">
        <f>"拔罐疗法(家医签约)"</f>
        <v>拔罐疗法(家医签约)</v>
      </c>
      <c r="B1557" s="1">
        <v>10</v>
      </c>
      <c r="C1557" s="1" t="str">
        <f t="shared" ref="C1557:C1560" si="490">"次"</f>
        <v>次</v>
      </c>
      <c r="D1557" s="1" t="str">
        <f>"次"</f>
        <v>次</v>
      </c>
      <c r="E1557" s="1" t="str">
        <f>"治疗费"</f>
        <v>治疗费</v>
      </c>
    </row>
    <row r="1558" spans="1:5">
      <c r="A1558" s="1" t="str">
        <f>"唐氏综合筛查及唐氏综合症风险率计算（免费）"</f>
        <v>唐氏综合筛查及唐氏综合症风险率计算（免费）</v>
      </c>
      <c r="B1558" s="1" t="str">
        <f>"0"</f>
        <v>0</v>
      </c>
      <c r="C1558" s="1" t="str">
        <f>"项"</f>
        <v>项</v>
      </c>
      <c r="D1558" s="1" t="str">
        <f>"项"</f>
        <v>项</v>
      </c>
      <c r="E1558" s="1" t="str">
        <f t="shared" ref="E1558:E1560" si="491">"检验费"</f>
        <v>检验费</v>
      </c>
    </row>
    <row r="1559" spans="1:5">
      <c r="A1559" s="1" t="str">
        <f>"新型冠状病毒核酸检测（甲）"</f>
        <v>新型冠状病毒核酸检测（甲）</v>
      </c>
      <c r="B1559" s="1">
        <v>16</v>
      </c>
      <c r="C1559" s="1" t="str">
        <f t="shared" si="490"/>
        <v>次</v>
      </c>
      <c r="D1559" s="1" t="str">
        <f>"项"</f>
        <v>项</v>
      </c>
      <c r="E1559" s="1" t="str">
        <f t="shared" si="491"/>
        <v>检验费</v>
      </c>
    </row>
    <row r="1560" spans="1:5">
      <c r="A1560" s="1" t="str">
        <f>"新型冠状病毒抗原检测"</f>
        <v>新型冠状病毒抗原检测</v>
      </c>
      <c r="B1560" s="1">
        <v>2</v>
      </c>
      <c r="C1560" s="1" t="str">
        <f t="shared" si="490"/>
        <v>次</v>
      </c>
      <c r="D1560" s="1" t="str">
        <f>"次"</f>
        <v>次</v>
      </c>
      <c r="E1560" s="1" t="str">
        <f t="shared" si="491"/>
        <v>检验费</v>
      </c>
    </row>
    <row r="1561" spans="1:5">
      <c r="A1561" s="1" t="s">
        <v>5</v>
      </c>
      <c r="B1561" s="1">
        <v>350</v>
      </c>
      <c r="C1561" s="1" t="str">
        <f>"项"</f>
        <v>项</v>
      </c>
      <c r="D1561" s="1" t="str">
        <f t="shared" ref="D1561:D1578" si="492">"部位"</f>
        <v>部位</v>
      </c>
      <c r="E1561" s="1" t="str">
        <f t="shared" ref="E1561:E1578" si="493">"核磁共振"</f>
        <v>核磁共振</v>
      </c>
    </row>
    <row r="1562" spans="1:5">
      <c r="A1562" s="1" t="s">
        <v>6</v>
      </c>
      <c r="B1562" s="1">
        <v>350</v>
      </c>
      <c r="C1562" s="1" t="str">
        <f>"项"</f>
        <v>项</v>
      </c>
      <c r="D1562" s="1" t="str">
        <f t="shared" si="492"/>
        <v>部位</v>
      </c>
      <c r="E1562" s="1" t="str">
        <f t="shared" si="493"/>
        <v>核磁共振</v>
      </c>
    </row>
    <row r="1563" spans="1:5">
      <c r="A1563" s="1" t="str">
        <f>"磁共振平扫（场强﹤0.5T）(盆腔)"</f>
        <v>磁共振平扫（场强﹤0.5T）(盆腔)</v>
      </c>
      <c r="B1563" s="1">
        <v>245</v>
      </c>
      <c r="C1563" s="1" t="str">
        <f>"项"</f>
        <v>项</v>
      </c>
      <c r="D1563" s="1" t="str">
        <f t="shared" si="492"/>
        <v>部位</v>
      </c>
      <c r="E1563" s="1" t="str">
        <f t="shared" si="493"/>
        <v>核磁共振</v>
      </c>
    </row>
    <row r="1564" spans="1:5">
      <c r="A1564" s="1" t="str">
        <f>"磁共振平扫（场强﹤0.5T）(心脏)"</f>
        <v>磁共振平扫（场强﹤0.5T）(心脏)</v>
      </c>
      <c r="B1564" s="1">
        <v>245</v>
      </c>
      <c r="C1564" s="1" t="str">
        <f>"项"</f>
        <v>项</v>
      </c>
      <c r="D1564" s="1" t="str">
        <f t="shared" si="492"/>
        <v>部位</v>
      </c>
      <c r="E1564" s="1" t="str">
        <f t="shared" si="493"/>
        <v>核磁共振</v>
      </c>
    </row>
    <row r="1565" spans="1:5">
      <c r="A1565" s="1" t="s">
        <v>7</v>
      </c>
      <c r="B1565" s="1">
        <v>350</v>
      </c>
      <c r="C1565" s="1" t="str">
        <f>"项"</f>
        <v>项</v>
      </c>
      <c r="D1565" s="1" t="str">
        <f t="shared" si="492"/>
        <v>部位</v>
      </c>
      <c r="E1565" s="1" t="str">
        <f t="shared" si="493"/>
        <v>核磁共振</v>
      </c>
    </row>
    <row r="1566" spans="1:5">
      <c r="A1566" s="1" t="s">
        <v>8</v>
      </c>
      <c r="B1566" s="1">
        <v>350</v>
      </c>
      <c r="C1566" s="1" t="str">
        <f>"项"</f>
        <v>项</v>
      </c>
      <c r="D1566" s="1" t="str">
        <f t="shared" si="492"/>
        <v>部位</v>
      </c>
      <c r="E1566" s="1" t="str">
        <f t="shared" si="493"/>
        <v>核磁共振</v>
      </c>
    </row>
    <row r="1567" spans="1:5">
      <c r="A1567" s="1" t="str">
        <f>"磁共振平扫（场强﹤0.5T）(颅脑)"</f>
        <v>磁共振平扫（场强﹤0.5T）(颅脑)</v>
      </c>
      <c r="B1567" s="1">
        <v>245</v>
      </c>
      <c r="C1567" s="1" t="str">
        <f>"项"</f>
        <v>项</v>
      </c>
      <c r="D1567" s="1" t="str">
        <f t="shared" si="492"/>
        <v>部位</v>
      </c>
      <c r="E1567" s="1" t="str">
        <f t="shared" si="493"/>
        <v>核磁共振</v>
      </c>
    </row>
    <row r="1568" spans="1:5">
      <c r="A1568" s="1" t="s">
        <v>9</v>
      </c>
      <c r="B1568" s="1">
        <v>450</v>
      </c>
      <c r="C1568" s="1" t="str">
        <f>"项"</f>
        <v>项</v>
      </c>
      <c r="D1568" s="1" t="str">
        <f t="shared" si="492"/>
        <v>部位</v>
      </c>
      <c r="E1568" s="1" t="str">
        <f t="shared" si="493"/>
        <v>核磁共振</v>
      </c>
    </row>
    <row r="1569" spans="1:5">
      <c r="A1569" s="1" t="str">
        <f>"磁共振平扫（场强﹤0.5T）(胸部)"</f>
        <v>磁共振平扫（场强﹤0.5T）(胸部)</v>
      </c>
      <c r="B1569" s="1">
        <v>245</v>
      </c>
      <c r="C1569" s="1" t="str">
        <f>"项"</f>
        <v>项</v>
      </c>
      <c r="D1569" s="1" t="str">
        <f t="shared" si="492"/>
        <v>部位</v>
      </c>
      <c r="E1569" s="1" t="str">
        <f t="shared" si="493"/>
        <v>核磁共振</v>
      </c>
    </row>
    <row r="1570" spans="1:5">
      <c r="A1570" s="1" t="s">
        <v>10</v>
      </c>
      <c r="B1570" s="1">
        <v>350</v>
      </c>
      <c r="C1570" s="1" t="str">
        <f>"项"</f>
        <v>项</v>
      </c>
      <c r="D1570" s="1" t="str">
        <f t="shared" si="492"/>
        <v>部位</v>
      </c>
      <c r="E1570" s="1" t="str">
        <f t="shared" si="493"/>
        <v>核磁共振</v>
      </c>
    </row>
    <row r="1571" spans="1:5">
      <c r="A1571" s="1" t="s">
        <v>11</v>
      </c>
      <c r="B1571" s="1">
        <v>350</v>
      </c>
      <c r="C1571" s="1" t="str">
        <f>"项"</f>
        <v>项</v>
      </c>
      <c r="D1571" s="1" t="str">
        <f t="shared" si="492"/>
        <v>部位</v>
      </c>
      <c r="E1571" s="1" t="str">
        <f t="shared" si="493"/>
        <v>核磁共振</v>
      </c>
    </row>
    <row r="1572" spans="1:5">
      <c r="A1572" s="1" t="str">
        <f>"磁共振平扫（场强﹤0.5T）(腰椎)"</f>
        <v>磁共振平扫（场强﹤0.5T）(腰椎)</v>
      </c>
      <c r="B1572" s="1">
        <v>245</v>
      </c>
      <c r="C1572" s="1" t="str">
        <f>"项"</f>
        <v>项</v>
      </c>
      <c r="D1572" s="1" t="str">
        <f t="shared" si="492"/>
        <v>部位</v>
      </c>
      <c r="E1572" s="1" t="str">
        <f t="shared" si="493"/>
        <v>核磁共振</v>
      </c>
    </row>
    <row r="1573" spans="1:5">
      <c r="A1573" s="1" t="str">
        <f>"磁共振平扫（场强﹤0.5T）(颈椎)"</f>
        <v>磁共振平扫（场强﹤0.5T）(颈椎)</v>
      </c>
      <c r="B1573" s="1">
        <v>245</v>
      </c>
      <c r="C1573" s="1" t="str">
        <f>"项"</f>
        <v>项</v>
      </c>
      <c r="D1573" s="1" t="str">
        <f t="shared" si="492"/>
        <v>部位</v>
      </c>
      <c r="E1573" s="1" t="str">
        <f t="shared" si="493"/>
        <v>核磁共振</v>
      </c>
    </row>
    <row r="1574" spans="1:5">
      <c r="A1574" s="1" t="s">
        <v>12</v>
      </c>
      <c r="B1574" s="1">
        <v>350</v>
      </c>
      <c r="C1574" s="1" t="str">
        <f>"项"</f>
        <v>项</v>
      </c>
      <c r="D1574" s="1" t="str">
        <f t="shared" si="492"/>
        <v>部位</v>
      </c>
      <c r="E1574" s="1" t="str">
        <f t="shared" si="493"/>
        <v>核磁共振</v>
      </c>
    </row>
    <row r="1575" spans="1:5">
      <c r="A1575" s="1" t="s">
        <v>13</v>
      </c>
      <c r="B1575" s="1">
        <v>350</v>
      </c>
      <c r="C1575" s="1" t="str">
        <f>"项"</f>
        <v>项</v>
      </c>
      <c r="D1575" s="1" t="str">
        <f t="shared" si="492"/>
        <v>部位</v>
      </c>
      <c r="E1575" s="1" t="str">
        <f t="shared" si="493"/>
        <v>核磁共振</v>
      </c>
    </row>
    <row r="1576" spans="1:5">
      <c r="A1576" s="1" t="str">
        <f>"磁共振平扫（场强﹤0.5T）(胸椎)"</f>
        <v>磁共振平扫（场强﹤0.5T）(胸椎)</v>
      </c>
      <c r="B1576" s="1">
        <v>245</v>
      </c>
      <c r="C1576" s="1" t="str">
        <f>"项"</f>
        <v>项</v>
      </c>
      <c r="D1576" s="1" t="str">
        <f t="shared" si="492"/>
        <v>部位</v>
      </c>
      <c r="E1576" s="1" t="str">
        <f t="shared" si="493"/>
        <v>核磁共振</v>
      </c>
    </row>
    <row r="1577" spans="1:5">
      <c r="A1577" s="1" t="s">
        <v>14</v>
      </c>
      <c r="B1577" s="1">
        <v>350</v>
      </c>
      <c r="C1577" s="1" t="str">
        <f>"项"</f>
        <v>项</v>
      </c>
      <c r="D1577" s="1" t="str">
        <f t="shared" si="492"/>
        <v>部位</v>
      </c>
      <c r="E1577" s="1" t="str">
        <f t="shared" si="493"/>
        <v>核磁共振</v>
      </c>
    </row>
    <row r="1578" spans="1:5">
      <c r="A1578" s="1" t="str">
        <f>"磁共振平扫（场强﹤0.5T）(踝关节)"</f>
        <v>磁共振平扫（场强﹤0.5T）(踝关节)</v>
      </c>
      <c r="B1578" s="1">
        <v>245</v>
      </c>
      <c r="C1578" s="1" t="str">
        <f>"项"</f>
        <v>项</v>
      </c>
      <c r="D1578" s="1" t="str">
        <f t="shared" si="492"/>
        <v>部位</v>
      </c>
      <c r="E1578" s="1" t="str">
        <f t="shared" si="493"/>
        <v>核磁共振</v>
      </c>
    </row>
    <row r="1579" spans="1:5">
      <c r="A1579" s="1" t="str">
        <f>"磁共振血管成像（MRA）"</f>
        <v>磁共振血管成像（MRA）</v>
      </c>
      <c r="B1579" s="1">
        <v>50</v>
      </c>
      <c r="C1579" s="1" t="str">
        <f t="shared" ref="C1579:C1606" si="494">"项"</f>
        <v>项</v>
      </c>
      <c r="D1579" s="1" t="str">
        <f>"项"</f>
        <v>项</v>
      </c>
      <c r="E1579" s="1" t="str">
        <f t="shared" ref="E1579:E1581" si="495">"放射费"</f>
        <v>放射费</v>
      </c>
    </row>
    <row r="1580" spans="1:5">
      <c r="A1580" s="1" t="str">
        <f>"磁共振脑功能成像"</f>
        <v>磁共振脑功能成像</v>
      </c>
      <c r="B1580" s="1">
        <v>50</v>
      </c>
      <c r="C1580" s="1" t="str">
        <f t="shared" si="494"/>
        <v>项</v>
      </c>
      <c r="D1580" s="1" t="str">
        <f>"项"</f>
        <v>项</v>
      </c>
      <c r="E1580" s="1" t="str">
        <f t="shared" si="495"/>
        <v>放射费</v>
      </c>
    </row>
    <row r="1581" spans="1:5">
      <c r="A1581" s="1" t="str">
        <f>"磁共振扫描使用心电或呼吸门控设备加收"</f>
        <v>磁共振扫描使用心电或呼吸门控设备加收</v>
      </c>
      <c r="B1581" s="1">
        <v>30</v>
      </c>
      <c r="C1581" s="1" t="str">
        <f t="shared" si="494"/>
        <v>项</v>
      </c>
      <c r="D1581" s="1" t="str">
        <f>"项"</f>
        <v>项</v>
      </c>
      <c r="E1581" s="1" t="str">
        <f t="shared" si="495"/>
        <v>放射费</v>
      </c>
    </row>
    <row r="1582" spans="1:5">
      <c r="A1582" s="1" t="s">
        <v>15</v>
      </c>
      <c r="B1582" s="1">
        <v>450</v>
      </c>
      <c r="C1582" s="1" t="str">
        <f t="shared" si="494"/>
        <v>项</v>
      </c>
      <c r="D1582" s="1" t="str">
        <f>"部位"</f>
        <v>部位</v>
      </c>
      <c r="E1582" s="1" t="str">
        <f>"核磁共振"</f>
        <v>核磁共振</v>
      </c>
    </row>
    <row r="1583" spans="1:5">
      <c r="A1583" s="1" t="str">
        <f>"多排螺旋CT平扫(股骨)"</f>
        <v>多排螺旋CT平扫(股骨)</v>
      </c>
      <c r="B1583" s="1">
        <v>140</v>
      </c>
      <c r="C1583" s="1" t="str">
        <f t="shared" si="494"/>
        <v>项</v>
      </c>
      <c r="D1583" s="1" t="str">
        <f t="shared" ref="D1583:D1606" si="496">"项"</f>
        <v>项</v>
      </c>
      <c r="E1583" s="1" t="str">
        <f t="shared" ref="E1583:E1606" si="497">"CT费"</f>
        <v>CT费</v>
      </c>
    </row>
    <row r="1584" spans="1:5">
      <c r="A1584" s="1" t="str">
        <f>"多排螺旋CT平扫(胫腓骨)"</f>
        <v>多排螺旋CT平扫(胫腓骨)</v>
      </c>
      <c r="B1584" s="1">
        <v>140</v>
      </c>
      <c r="C1584" s="1" t="str">
        <f t="shared" si="494"/>
        <v>项</v>
      </c>
      <c r="D1584" s="1" t="str">
        <f t="shared" si="496"/>
        <v>项</v>
      </c>
      <c r="E1584" s="1" t="str">
        <f t="shared" si="497"/>
        <v>CT费</v>
      </c>
    </row>
    <row r="1585" spans="1:5">
      <c r="A1585" s="1" t="str">
        <f>"多排螺旋CT平扫(踝关节)"</f>
        <v>多排螺旋CT平扫(踝关节)</v>
      </c>
      <c r="B1585" s="1">
        <v>140</v>
      </c>
      <c r="C1585" s="1" t="str">
        <f t="shared" si="494"/>
        <v>项</v>
      </c>
      <c r="D1585" s="1" t="str">
        <f t="shared" si="496"/>
        <v>项</v>
      </c>
      <c r="E1585" s="1" t="str">
        <f t="shared" si="497"/>
        <v>CT费</v>
      </c>
    </row>
    <row r="1586" spans="1:5">
      <c r="A1586" s="1" t="str">
        <f>"多排螺旋CT平扫(足)"</f>
        <v>多排螺旋CT平扫(足)</v>
      </c>
      <c r="B1586" s="1">
        <v>140</v>
      </c>
      <c r="C1586" s="1" t="str">
        <f t="shared" si="494"/>
        <v>项</v>
      </c>
      <c r="D1586" s="1" t="str">
        <f t="shared" si="496"/>
        <v>项</v>
      </c>
      <c r="E1586" s="1" t="str">
        <f t="shared" si="497"/>
        <v>CT费</v>
      </c>
    </row>
    <row r="1587" spans="1:5">
      <c r="A1587" s="1" t="str">
        <f>"多排螺旋CT平扫(颅脑)"</f>
        <v>多排螺旋CT平扫(颅脑)</v>
      </c>
      <c r="B1587" s="1">
        <v>140</v>
      </c>
      <c r="C1587" s="1" t="str">
        <f t="shared" si="494"/>
        <v>项</v>
      </c>
      <c r="D1587" s="1" t="str">
        <f t="shared" si="496"/>
        <v>项</v>
      </c>
      <c r="E1587" s="1" t="str">
        <f t="shared" si="497"/>
        <v>CT费</v>
      </c>
    </row>
    <row r="1588" spans="1:5">
      <c r="A1588" s="1" t="str">
        <f>"多排螺旋CT平扫(椎体:每三个椎体)"</f>
        <v>多排螺旋CT平扫(椎体:每三个椎体)</v>
      </c>
      <c r="B1588" s="1">
        <v>140</v>
      </c>
      <c r="C1588" s="1" t="str">
        <f t="shared" si="494"/>
        <v>项</v>
      </c>
      <c r="D1588" s="1" t="str">
        <f t="shared" si="496"/>
        <v>项</v>
      </c>
      <c r="E1588" s="1" t="str">
        <f t="shared" si="497"/>
        <v>CT费</v>
      </c>
    </row>
    <row r="1589" spans="1:5">
      <c r="A1589" s="1" t="str">
        <f>"多排螺旋CT平扫(中腹部)"</f>
        <v>多排螺旋CT平扫(中腹部)</v>
      </c>
      <c r="B1589" s="1">
        <v>140</v>
      </c>
      <c r="C1589" s="1" t="str">
        <f t="shared" si="494"/>
        <v>项</v>
      </c>
      <c r="D1589" s="1" t="str">
        <f t="shared" si="496"/>
        <v>项</v>
      </c>
      <c r="E1589" s="1" t="str">
        <f t="shared" si="497"/>
        <v>CT费</v>
      </c>
    </row>
    <row r="1590" spans="1:5">
      <c r="A1590" s="1" t="str">
        <f>"多排螺旋CT平扫(上腹部)"</f>
        <v>多排螺旋CT平扫(上腹部)</v>
      </c>
      <c r="B1590" s="1">
        <v>140</v>
      </c>
      <c r="C1590" s="1" t="str">
        <f t="shared" si="494"/>
        <v>项</v>
      </c>
      <c r="D1590" s="1" t="str">
        <f t="shared" si="496"/>
        <v>项</v>
      </c>
      <c r="E1590" s="1" t="str">
        <f t="shared" si="497"/>
        <v>CT费</v>
      </c>
    </row>
    <row r="1591" spans="1:5">
      <c r="A1591" s="1" t="str">
        <f>"多排螺旋CT平扫(盆腔)"</f>
        <v>多排螺旋CT平扫(盆腔)</v>
      </c>
      <c r="B1591" s="1">
        <v>140</v>
      </c>
      <c r="C1591" s="1" t="str">
        <f t="shared" si="494"/>
        <v>项</v>
      </c>
      <c r="D1591" s="1" t="str">
        <f t="shared" si="496"/>
        <v>项</v>
      </c>
      <c r="E1591" s="1" t="str">
        <f t="shared" si="497"/>
        <v>CT费</v>
      </c>
    </row>
    <row r="1592" spans="1:5">
      <c r="A1592" s="1" t="str">
        <f>"多排螺旋CT平扫(双髋关节)"</f>
        <v>多排螺旋CT平扫(双髋关节)</v>
      </c>
      <c r="B1592" s="1">
        <v>140</v>
      </c>
      <c r="C1592" s="1" t="str">
        <f t="shared" si="494"/>
        <v>项</v>
      </c>
      <c r="D1592" s="1" t="str">
        <f t="shared" si="496"/>
        <v>项</v>
      </c>
      <c r="E1592" s="1" t="str">
        <f t="shared" si="497"/>
        <v>CT费</v>
      </c>
    </row>
    <row r="1593" spans="1:5">
      <c r="A1593" s="1" t="str">
        <f>"多排螺旋CT平扫(双膝关节)"</f>
        <v>多排螺旋CT平扫(双膝关节)</v>
      </c>
      <c r="B1593" s="1">
        <v>140</v>
      </c>
      <c r="C1593" s="1" t="str">
        <f t="shared" si="494"/>
        <v>项</v>
      </c>
      <c r="D1593" s="1" t="str">
        <f t="shared" si="496"/>
        <v>项</v>
      </c>
      <c r="E1593" s="1" t="str">
        <f t="shared" si="497"/>
        <v>CT费</v>
      </c>
    </row>
    <row r="1594" spans="1:5">
      <c r="A1594" s="1" t="str">
        <f>"多排螺旋CT平扫(颞骨)"</f>
        <v>多排螺旋CT平扫(颞骨)</v>
      </c>
      <c r="B1594" s="1">
        <v>140</v>
      </c>
      <c r="C1594" s="1" t="str">
        <f t="shared" si="494"/>
        <v>项</v>
      </c>
      <c r="D1594" s="1" t="str">
        <f t="shared" si="496"/>
        <v>项</v>
      </c>
      <c r="E1594" s="1" t="str">
        <f t="shared" si="497"/>
        <v>CT费</v>
      </c>
    </row>
    <row r="1595" spans="1:5">
      <c r="A1595" s="1" t="str">
        <f>"多排螺旋CT平扫(颅底)"</f>
        <v>多排螺旋CT平扫(颅底)</v>
      </c>
      <c r="B1595" s="1">
        <v>140</v>
      </c>
      <c r="C1595" s="1" t="str">
        <f t="shared" si="494"/>
        <v>项</v>
      </c>
      <c r="D1595" s="1" t="str">
        <f t="shared" si="496"/>
        <v>项</v>
      </c>
      <c r="E1595" s="1" t="str">
        <f t="shared" si="497"/>
        <v>CT费</v>
      </c>
    </row>
    <row r="1596" spans="1:5">
      <c r="A1596" s="1" t="str">
        <f>"多排螺旋CT平扫(上颌骨)"</f>
        <v>多排螺旋CT平扫(上颌骨)</v>
      </c>
      <c r="B1596" s="1">
        <v>140</v>
      </c>
      <c r="C1596" s="1" t="str">
        <f t="shared" si="494"/>
        <v>项</v>
      </c>
      <c r="D1596" s="1" t="str">
        <f t="shared" si="496"/>
        <v>项</v>
      </c>
      <c r="E1596" s="1" t="str">
        <f t="shared" si="497"/>
        <v>CT费</v>
      </c>
    </row>
    <row r="1597" spans="1:5">
      <c r="A1597" s="1" t="str">
        <f>"多排螺旋CT平扫(胸部)"</f>
        <v>多排螺旋CT平扫(胸部)</v>
      </c>
      <c r="B1597" s="1">
        <v>140</v>
      </c>
      <c r="C1597" s="1" t="str">
        <f t="shared" si="494"/>
        <v>项</v>
      </c>
      <c r="D1597" s="1" t="str">
        <f t="shared" si="496"/>
        <v>项</v>
      </c>
      <c r="E1597" s="1" t="str">
        <f t="shared" si="497"/>
        <v>CT费</v>
      </c>
    </row>
    <row r="1598" spans="1:5">
      <c r="A1598" s="1" t="str">
        <f>"多排螺旋CT平扫(下颌骨)"</f>
        <v>多排螺旋CT平扫(下颌骨)</v>
      </c>
      <c r="B1598" s="1">
        <v>140</v>
      </c>
      <c r="C1598" s="1" t="str">
        <f t="shared" si="494"/>
        <v>项</v>
      </c>
      <c r="D1598" s="1" t="str">
        <f t="shared" si="496"/>
        <v>项</v>
      </c>
      <c r="E1598" s="1" t="str">
        <f t="shared" si="497"/>
        <v>CT费</v>
      </c>
    </row>
    <row r="1599" spans="1:5">
      <c r="A1599" s="1" t="str">
        <f>"多排螺旋CT平扫(颧弓)"</f>
        <v>多排螺旋CT平扫(颧弓)</v>
      </c>
      <c r="B1599" s="1">
        <v>140</v>
      </c>
      <c r="C1599" s="1" t="str">
        <f t="shared" si="494"/>
        <v>项</v>
      </c>
      <c r="D1599" s="1" t="str">
        <f t="shared" si="496"/>
        <v>项</v>
      </c>
      <c r="E1599" s="1" t="str">
        <f t="shared" si="497"/>
        <v>CT费</v>
      </c>
    </row>
    <row r="1600" spans="1:5">
      <c r="A1600" s="1" t="str">
        <f>"多排螺旋CT平扫(颞下颌关节)"</f>
        <v>多排螺旋CT平扫(颞下颌关节)</v>
      </c>
      <c r="B1600" s="1">
        <v>140</v>
      </c>
      <c r="C1600" s="1" t="str">
        <f t="shared" si="494"/>
        <v>项</v>
      </c>
      <c r="D1600" s="1" t="str">
        <f t="shared" si="496"/>
        <v>项</v>
      </c>
      <c r="E1600" s="1" t="str">
        <f t="shared" si="497"/>
        <v>CT费</v>
      </c>
    </row>
    <row r="1601" spans="1:5">
      <c r="A1601" s="1" t="str">
        <f>"多排螺旋CT平扫(肩胛骨)"</f>
        <v>多排螺旋CT平扫(肩胛骨)</v>
      </c>
      <c r="B1601" s="1">
        <v>140</v>
      </c>
      <c r="C1601" s="1" t="str">
        <f t="shared" si="494"/>
        <v>项</v>
      </c>
      <c r="D1601" s="1" t="str">
        <f t="shared" si="496"/>
        <v>项</v>
      </c>
      <c r="E1601" s="1" t="str">
        <f t="shared" si="497"/>
        <v>CT费</v>
      </c>
    </row>
    <row r="1602" spans="1:5">
      <c r="A1602" s="1" t="str">
        <f>"多排螺旋CT平扫(肱骨)"</f>
        <v>多排螺旋CT平扫(肱骨)</v>
      </c>
      <c r="B1602" s="1">
        <v>140</v>
      </c>
      <c r="C1602" s="1" t="str">
        <f t="shared" si="494"/>
        <v>项</v>
      </c>
      <c r="D1602" s="1" t="str">
        <f t="shared" si="496"/>
        <v>项</v>
      </c>
      <c r="E1602" s="1" t="str">
        <f t="shared" si="497"/>
        <v>CT费</v>
      </c>
    </row>
    <row r="1603" spans="1:5">
      <c r="A1603" s="1" t="str">
        <f>"多排螺旋CT平扫(肘关节)"</f>
        <v>多排螺旋CT平扫(肘关节)</v>
      </c>
      <c r="B1603" s="1">
        <v>140</v>
      </c>
      <c r="C1603" s="1" t="str">
        <f t="shared" si="494"/>
        <v>项</v>
      </c>
      <c r="D1603" s="1" t="str">
        <f t="shared" si="496"/>
        <v>项</v>
      </c>
      <c r="E1603" s="1" t="str">
        <f t="shared" si="497"/>
        <v>CT费</v>
      </c>
    </row>
    <row r="1604" spans="1:5">
      <c r="A1604" s="1" t="str">
        <f>"多排螺旋CT平扫(尺桡骨)"</f>
        <v>多排螺旋CT平扫(尺桡骨)</v>
      </c>
      <c r="B1604" s="1">
        <v>140</v>
      </c>
      <c r="C1604" s="1" t="str">
        <f t="shared" si="494"/>
        <v>项</v>
      </c>
      <c r="D1604" s="1" t="str">
        <f t="shared" si="496"/>
        <v>项</v>
      </c>
      <c r="E1604" s="1" t="str">
        <f t="shared" si="497"/>
        <v>CT费</v>
      </c>
    </row>
    <row r="1605" spans="1:5">
      <c r="A1605" s="1" t="str">
        <f>"多排螺旋CT平扫(腕关节)"</f>
        <v>多排螺旋CT平扫(腕关节)</v>
      </c>
      <c r="B1605" s="1">
        <v>140</v>
      </c>
      <c r="C1605" s="1" t="str">
        <f t="shared" si="494"/>
        <v>项</v>
      </c>
      <c r="D1605" s="1" t="str">
        <f t="shared" si="496"/>
        <v>项</v>
      </c>
      <c r="E1605" s="1" t="str">
        <f t="shared" si="497"/>
        <v>CT费</v>
      </c>
    </row>
    <row r="1606" spans="1:5">
      <c r="A1606" s="1" t="str">
        <f>"多排螺旋CT平扫(手)"</f>
        <v>多排螺旋CT平扫(手)</v>
      </c>
      <c r="B1606" s="1">
        <v>140</v>
      </c>
      <c r="C1606" s="1" t="str">
        <f t="shared" si="494"/>
        <v>项</v>
      </c>
      <c r="D1606" s="1" t="str">
        <f t="shared" si="496"/>
        <v>项</v>
      </c>
      <c r="E1606" s="1" t="str">
        <f t="shared" si="497"/>
        <v>CT费</v>
      </c>
    </row>
    <row r="1607" spans="1:5">
      <c r="A1607" s="1" t="str">
        <f>"13价肺炎疫苗"</f>
        <v>13价肺炎疫苗</v>
      </c>
      <c r="B1607" s="1">
        <v>698</v>
      </c>
      <c r="C1607" s="1" t="str">
        <f t="shared" ref="C1607:C1614" si="498">"0.5ml"</f>
        <v>0.5ml</v>
      </c>
      <c r="D1607" s="1" t="str">
        <f t="shared" ref="D1607:D1632" si="499">"支"</f>
        <v>支</v>
      </c>
      <c r="E1607" s="1" t="str">
        <f t="shared" ref="E1607:E1643" si="500">"生物制品"</f>
        <v>生物制品</v>
      </c>
    </row>
    <row r="1608" spans="1:5">
      <c r="A1608" s="1" t="str">
        <f>"口服轮状病毒疫苗"</f>
        <v>口服轮状病毒疫苗</v>
      </c>
      <c r="B1608" s="1">
        <v>172</v>
      </c>
      <c r="C1608" s="1" t="str">
        <f>"3ml"</f>
        <v>3ml</v>
      </c>
      <c r="D1608" s="1" t="str">
        <f t="shared" si="499"/>
        <v>支</v>
      </c>
      <c r="E1608" s="1" t="str">
        <f t="shared" si="500"/>
        <v>生物制品</v>
      </c>
    </row>
    <row r="1609" spans="1:5">
      <c r="A1609" s="1" t="str">
        <f>"b型流感嗜血杆菌结合疫苗"</f>
        <v>b型流感嗜血杆菌结合疫苗</v>
      </c>
      <c r="B1609" s="1">
        <v>102</v>
      </c>
      <c r="C1609" s="1" t="str">
        <f t="shared" si="498"/>
        <v>0.5ml</v>
      </c>
      <c r="D1609" s="1" t="str">
        <f t="shared" si="499"/>
        <v>支</v>
      </c>
      <c r="E1609" s="1" t="str">
        <f t="shared" si="500"/>
        <v>生物制品</v>
      </c>
    </row>
    <row r="1610" spans="1:5">
      <c r="A1610" s="1" t="str">
        <f>"手足口EV71二倍体疫苗"</f>
        <v>手足口EV71二倍体疫苗</v>
      </c>
      <c r="B1610" s="1">
        <v>188</v>
      </c>
      <c r="C1610" s="1" t="str">
        <f t="shared" si="498"/>
        <v>0.5ml</v>
      </c>
      <c r="D1610" s="1" t="str">
        <f t="shared" si="499"/>
        <v>支</v>
      </c>
      <c r="E1610" s="1" t="str">
        <f t="shared" si="500"/>
        <v>生物制品</v>
      </c>
    </row>
    <row r="1611" spans="1:5">
      <c r="A1611" s="1" t="str">
        <f>"成人乙肝疫苗"</f>
        <v>成人乙肝疫苗</v>
      </c>
      <c r="B1611" s="1">
        <v>88</v>
      </c>
      <c r="C1611" s="1" t="str">
        <f t="shared" si="498"/>
        <v>0.5ml</v>
      </c>
      <c r="D1611" s="1" t="str">
        <f t="shared" si="499"/>
        <v>支</v>
      </c>
      <c r="E1611" s="1" t="str">
        <f t="shared" si="500"/>
        <v>生物制品</v>
      </c>
    </row>
    <row r="1612" spans="1:5">
      <c r="A1612" s="1" t="str">
        <f>"四价流感疫苗"</f>
        <v>四价流感疫苗</v>
      </c>
      <c r="B1612" s="1">
        <v>128</v>
      </c>
      <c r="C1612" s="1" t="str">
        <f t="shared" si="498"/>
        <v>0.5ml</v>
      </c>
      <c r="D1612" s="1" t="str">
        <f t="shared" si="499"/>
        <v>支</v>
      </c>
      <c r="E1612" s="1" t="str">
        <f t="shared" si="500"/>
        <v>生物制品</v>
      </c>
    </row>
    <row r="1613" spans="1:5">
      <c r="A1613" s="1" t="str">
        <f>"灭活脊灰疫苗"</f>
        <v>灭活脊灰疫苗</v>
      </c>
      <c r="B1613" s="1">
        <v>178</v>
      </c>
      <c r="C1613" s="1" t="str">
        <f t="shared" si="498"/>
        <v>0.5ml</v>
      </c>
      <c r="D1613" s="1" t="str">
        <f t="shared" si="499"/>
        <v>支</v>
      </c>
      <c r="E1613" s="1" t="str">
        <f t="shared" si="500"/>
        <v>生物制品</v>
      </c>
    </row>
    <row r="1614" spans="1:5">
      <c r="A1614" s="1" t="str">
        <f>"九价人乳头瘤病毒疫苗"</f>
        <v>九价人乳头瘤病毒疫苗</v>
      </c>
      <c r="B1614" s="1">
        <v>1298</v>
      </c>
      <c r="C1614" s="1" t="str">
        <f t="shared" si="498"/>
        <v>0.5ml</v>
      </c>
      <c r="D1614" s="1" t="str">
        <f t="shared" si="499"/>
        <v>支</v>
      </c>
      <c r="E1614" s="1" t="str">
        <f t="shared" si="500"/>
        <v>生物制品</v>
      </c>
    </row>
    <row r="1615" spans="1:5">
      <c r="A1615" s="1" t="str">
        <f>"23价肺炎疫苗(沃森)"</f>
        <v>23价肺炎疫苗(沃森)</v>
      </c>
      <c r="B1615" s="1">
        <v>200</v>
      </c>
      <c r="C1615" s="1" t="str">
        <f t="shared" ref="C1615:C1622" si="501">"支"</f>
        <v>支</v>
      </c>
      <c r="D1615" s="1" t="str">
        <f t="shared" si="499"/>
        <v>支</v>
      </c>
      <c r="E1615" s="1" t="str">
        <f t="shared" si="500"/>
        <v>生物制品</v>
      </c>
    </row>
    <row r="1616" spans="1:5">
      <c r="A1616" s="1" t="str">
        <f>"流脑A+C结合疫苗"</f>
        <v>流脑A+C结合疫苗</v>
      </c>
      <c r="B1616" s="1">
        <v>120</v>
      </c>
      <c r="C1616" s="1" t="str">
        <f>"0.5ml"</f>
        <v>0.5ml</v>
      </c>
      <c r="D1616" s="1" t="str">
        <f t="shared" si="499"/>
        <v>支</v>
      </c>
      <c r="E1616" s="1" t="str">
        <f t="shared" si="500"/>
        <v>生物制品</v>
      </c>
    </row>
    <row r="1617" spans="1:5">
      <c r="A1617" s="1" t="str">
        <f>"纽莫法（23价成人）"</f>
        <v>纽莫法（23价成人）</v>
      </c>
      <c r="B1617" s="1">
        <v>248</v>
      </c>
      <c r="C1617" s="1" t="str">
        <f t="shared" si="501"/>
        <v>支</v>
      </c>
      <c r="D1617" s="1" t="str">
        <f t="shared" si="499"/>
        <v>支</v>
      </c>
      <c r="E1617" s="1" t="str">
        <f t="shared" si="500"/>
        <v>生物制品</v>
      </c>
    </row>
    <row r="1618" spans="1:5">
      <c r="A1618" s="1" t="str">
        <f>"儿童汉信"</f>
        <v>儿童汉信</v>
      </c>
      <c r="B1618" s="1">
        <v>71</v>
      </c>
      <c r="C1618" s="1" t="str">
        <f t="shared" si="501"/>
        <v>支</v>
      </c>
      <c r="D1618" s="1" t="str">
        <f t="shared" si="499"/>
        <v>支</v>
      </c>
      <c r="E1618" s="1" t="str">
        <f t="shared" si="500"/>
        <v>生物制品</v>
      </c>
    </row>
    <row r="1619" spans="1:5">
      <c r="A1619" s="1" t="str">
        <f>"五价重配轮状病毒活疫苗"</f>
        <v>五价重配轮状病毒活疫苗</v>
      </c>
      <c r="B1619" s="1">
        <v>280</v>
      </c>
      <c r="C1619" s="1" t="str">
        <f t="shared" si="501"/>
        <v>支</v>
      </c>
      <c r="D1619" s="1" t="str">
        <f t="shared" si="499"/>
        <v>支</v>
      </c>
      <c r="E1619" s="1" t="str">
        <f t="shared" si="500"/>
        <v>生物制品</v>
      </c>
    </row>
    <row r="1620" spans="1:5">
      <c r="A1620" s="1" t="str">
        <f>"流脑A+C+Y+W135疫苗"</f>
        <v>流脑A+C+Y+W135疫苗</v>
      </c>
      <c r="B1620" s="1">
        <v>136</v>
      </c>
      <c r="C1620" s="1" t="str">
        <f t="shared" si="501"/>
        <v>支</v>
      </c>
      <c r="D1620" s="1" t="str">
        <f t="shared" si="499"/>
        <v>支</v>
      </c>
      <c r="E1620" s="1" t="str">
        <f t="shared" si="500"/>
        <v>生物制品</v>
      </c>
    </row>
    <row r="1621" spans="1:5">
      <c r="A1621" s="1" t="str">
        <f>"潘太新"</f>
        <v>潘太新</v>
      </c>
      <c r="B1621" s="1">
        <v>600</v>
      </c>
      <c r="C1621" s="1" t="str">
        <f t="shared" si="501"/>
        <v>支</v>
      </c>
      <c r="D1621" s="1" t="str">
        <f t="shared" si="499"/>
        <v>支</v>
      </c>
      <c r="E1621" s="1" t="str">
        <f t="shared" si="500"/>
        <v>生物制品</v>
      </c>
    </row>
    <row r="1622" spans="1:5">
      <c r="A1622" s="1" t="str">
        <f>"百白破Hib四联疫苗"</f>
        <v>百白破Hib四联疫苗</v>
      </c>
      <c r="B1622" s="1">
        <v>368</v>
      </c>
      <c r="C1622" s="1" t="str">
        <f t="shared" si="501"/>
        <v>支</v>
      </c>
      <c r="D1622" s="1" t="str">
        <f t="shared" si="499"/>
        <v>支</v>
      </c>
      <c r="E1622" s="1" t="str">
        <f t="shared" si="500"/>
        <v>生物制品</v>
      </c>
    </row>
    <row r="1623" spans="1:5">
      <c r="A1623" s="1" t="str">
        <f>"安在时(儿童)"</f>
        <v>安在时(儿童)</v>
      </c>
      <c r="B1623" s="1">
        <v>118</v>
      </c>
      <c r="C1623" s="1" t="str">
        <f>"10ug"</f>
        <v>10ug</v>
      </c>
      <c r="D1623" s="1" t="str">
        <f t="shared" si="499"/>
        <v>支</v>
      </c>
      <c r="E1623" s="1" t="str">
        <f t="shared" si="500"/>
        <v>生物制品</v>
      </c>
    </row>
    <row r="1624" spans="1:5">
      <c r="A1624" s="1" t="str">
        <f>"安在时(成人)"</f>
        <v>安在时(成人)</v>
      </c>
      <c r="B1624" s="1">
        <v>138</v>
      </c>
      <c r="C1624" s="1" t="str">
        <f>"20ug"</f>
        <v>20ug</v>
      </c>
      <c r="D1624" s="1" t="str">
        <f t="shared" si="499"/>
        <v>支</v>
      </c>
      <c r="E1624" s="1" t="str">
        <f t="shared" si="500"/>
        <v>生物制品</v>
      </c>
    </row>
    <row r="1625" spans="1:5">
      <c r="A1625" s="1" t="str">
        <f>"凡尔灵(成人)"</f>
        <v>凡尔灵(成人)</v>
      </c>
      <c r="B1625" s="1">
        <v>65</v>
      </c>
      <c r="C1625" s="1" t="str">
        <f t="shared" ref="C1625:C1628" si="502">"0"</f>
        <v>0</v>
      </c>
      <c r="D1625" s="1" t="str">
        <f t="shared" si="499"/>
        <v>支</v>
      </c>
      <c r="E1625" s="1" t="str">
        <f t="shared" si="500"/>
        <v>生物制品</v>
      </c>
    </row>
    <row r="1626" spans="1:5">
      <c r="A1626" s="1" t="str">
        <f>"EV71(西林瓶)"</f>
        <v>EV71(西林瓶)</v>
      </c>
      <c r="B1626" s="1">
        <v>168</v>
      </c>
      <c r="C1626" s="1" t="str">
        <f t="shared" si="502"/>
        <v>0</v>
      </c>
      <c r="D1626" s="1" t="str">
        <f t="shared" si="499"/>
        <v>支</v>
      </c>
      <c r="E1626" s="1" t="str">
        <f t="shared" si="500"/>
        <v>生物制品</v>
      </c>
    </row>
    <row r="1627" spans="1:5">
      <c r="A1627" s="1" t="str">
        <f>"二类甲肝"</f>
        <v>二类甲肝</v>
      </c>
      <c r="B1627" s="1">
        <v>105</v>
      </c>
      <c r="C1627" s="1" t="str">
        <f t="shared" si="502"/>
        <v>0</v>
      </c>
      <c r="D1627" s="1" t="str">
        <f t="shared" si="499"/>
        <v>支</v>
      </c>
      <c r="E1627" s="1" t="str">
        <f t="shared" si="500"/>
        <v>生物制品</v>
      </c>
    </row>
    <row r="1628" spans="1:5">
      <c r="A1628" s="1" t="str">
        <f>"凡尔灵(儿童)"</f>
        <v>凡尔灵(儿童)</v>
      </c>
      <c r="B1628" s="1">
        <v>29</v>
      </c>
      <c r="C1628" s="1" t="str">
        <f t="shared" si="502"/>
        <v>0</v>
      </c>
      <c r="D1628" s="1" t="str">
        <f t="shared" si="499"/>
        <v>支</v>
      </c>
      <c r="E1628" s="1" t="str">
        <f t="shared" si="500"/>
        <v>生物制品</v>
      </c>
    </row>
    <row r="1629" spans="1:5">
      <c r="A1629" s="1" t="str">
        <f>"Sabin灭活脊灰疫苗"</f>
        <v>Sabin灭活脊灰疫苗</v>
      </c>
      <c r="B1629" s="1">
        <v>168</v>
      </c>
      <c r="C1629" s="1" t="str">
        <f>"支"</f>
        <v>支</v>
      </c>
      <c r="D1629" s="1" t="str">
        <f t="shared" si="499"/>
        <v>支</v>
      </c>
      <c r="E1629" s="1" t="str">
        <f t="shared" si="500"/>
        <v>生物制品</v>
      </c>
    </row>
    <row r="1630" spans="1:5">
      <c r="A1630" s="1" t="str">
        <f>"重组带状疱疹疫苗(CHO)"</f>
        <v>重组带状疱疹疫苗(CHO)</v>
      </c>
      <c r="B1630" s="1">
        <v>1598</v>
      </c>
      <c r="C1630" s="1" t="str">
        <f t="shared" ref="C1630:C1637" si="503">"0.5ml"</f>
        <v>0.5ml</v>
      </c>
      <c r="D1630" s="1" t="str">
        <f t="shared" si="499"/>
        <v>支</v>
      </c>
      <c r="E1630" s="1" t="str">
        <f t="shared" si="500"/>
        <v>生物制品</v>
      </c>
    </row>
    <row r="1631" spans="1:5">
      <c r="A1631" s="1" t="str">
        <f>"流感病毒裂解疫苗"</f>
        <v>流感病毒裂解疫苗</v>
      </c>
      <c r="B1631" s="1">
        <v>65</v>
      </c>
      <c r="C1631" s="1" t="str">
        <f t="shared" si="503"/>
        <v>0.5ml</v>
      </c>
      <c r="D1631" s="1" t="str">
        <f t="shared" si="499"/>
        <v>支</v>
      </c>
      <c r="E1631" s="1" t="str">
        <f t="shared" si="500"/>
        <v>生物制品</v>
      </c>
    </row>
    <row r="1632" spans="1:5">
      <c r="A1632" s="1" t="str">
        <f>"四价流感病毒裂解疫苗"</f>
        <v>四价流感病毒裂解疫苗</v>
      </c>
      <c r="B1632" s="1">
        <v>128</v>
      </c>
      <c r="C1632" s="1" t="str">
        <f t="shared" si="503"/>
        <v>0.5ml</v>
      </c>
      <c r="D1632" s="1" t="str">
        <f t="shared" si="499"/>
        <v>支</v>
      </c>
      <c r="E1632" s="1" t="str">
        <f t="shared" si="500"/>
        <v>生物制品</v>
      </c>
    </row>
    <row r="1633" spans="1:5">
      <c r="A1633" s="1" t="str">
        <f>"Sabin株脊髓灰质炎灭活疫苗"</f>
        <v>Sabin株脊髓灰质炎灭活疫苗</v>
      </c>
      <c r="B1633" s="1">
        <v>168</v>
      </c>
      <c r="C1633" s="1" t="str">
        <f t="shared" si="503"/>
        <v>0.5ml</v>
      </c>
      <c r="D1633" s="1" t="str">
        <f>"瓶"</f>
        <v>瓶</v>
      </c>
      <c r="E1633" s="1" t="str">
        <f t="shared" si="500"/>
        <v>生物制品</v>
      </c>
    </row>
    <row r="1634" spans="1:5">
      <c r="A1634" s="1" t="str">
        <f>"双价人乳头瘤病毒疫苗（大肠杆菌）"</f>
        <v>双价人乳头瘤病毒疫苗（大肠杆菌）</v>
      </c>
      <c r="B1634" s="1">
        <v>329</v>
      </c>
      <c r="C1634" s="1" t="str">
        <f t="shared" si="503"/>
        <v>0.5ml</v>
      </c>
      <c r="D1634" s="1" t="str">
        <f t="shared" ref="D1634:D1643" si="504">"支"</f>
        <v>支</v>
      </c>
      <c r="E1634" s="1" t="str">
        <f t="shared" si="500"/>
        <v>生物制品</v>
      </c>
    </row>
    <row r="1635" spans="1:5">
      <c r="A1635" s="1" t="str">
        <f>"13价肺炎疫苗（沃森）"</f>
        <v>13价肺炎疫苗（沃森）</v>
      </c>
      <c r="B1635" s="1">
        <v>598</v>
      </c>
      <c r="C1635" s="1" t="str">
        <f t="shared" si="503"/>
        <v>0.5ml</v>
      </c>
      <c r="D1635" s="1" t="str">
        <f t="shared" si="504"/>
        <v>支</v>
      </c>
      <c r="E1635" s="1" t="str">
        <f t="shared" si="500"/>
        <v>生物制品</v>
      </c>
    </row>
    <row r="1636" spans="1:5">
      <c r="A1636" s="1" t="str">
        <f>"双价人乳头瘤病毒吸附疫苗（希瑞适 优惠）"</f>
        <v>双价人乳头瘤病毒吸附疫苗（希瑞适 优惠）</v>
      </c>
      <c r="B1636" s="1">
        <v>494</v>
      </c>
      <c r="C1636" s="1" t="str">
        <f t="shared" si="503"/>
        <v>0.5ml</v>
      </c>
      <c r="D1636" s="1" t="str">
        <f t="shared" si="504"/>
        <v>支</v>
      </c>
      <c r="E1636" s="1" t="str">
        <f t="shared" si="500"/>
        <v>生物制品</v>
      </c>
    </row>
    <row r="1637" spans="1:5">
      <c r="A1637" s="1" t="str">
        <f>"四价人乳头瘤病毒疫苗（佳达修 优惠）"</f>
        <v>四价人乳头瘤病毒疫苗（佳达修 优惠）</v>
      </c>
      <c r="B1637" s="1">
        <v>712</v>
      </c>
      <c r="C1637" s="1" t="str">
        <f t="shared" si="503"/>
        <v>0.5ml</v>
      </c>
      <c r="D1637" s="1" t="str">
        <f t="shared" si="504"/>
        <v>支</v>
      </c>
      <c r="E1637" s="1" t="str">
        <f t="shared" si="500"/>
        <v>生物制品</v>
      </c>
    </row>
    <row r="1638" spans="1:5">
      <c r="A1638" s="1" t="str">
        <f>"冻干鼻喷流感减毒活疫苗（长春百克）"</f>
        <v>冻干鼻喷流感减毒活疫苗（长春百克）</v>
      </c>
      <c r="B1638" s="1">
        <v>298</v>
      </c>
      <c r="C1638" s="1" t="str">
        <f>"0.2ml"</f>
        <v>0.2ml</v>
      </c>
      <c r="D1638" s="1" t="str">
        <f t="shared" si="504"/>
        <v>支</v>
      </c>
      <c r="E1638" s="1" t="str">
        <f t="shared" si="500"/>
        <v>生物制品</v>
      </c>
    </row>
    <row r="1639" spans="1:5">
      <c r="A1639" s="1" t="str">
        <f>"甲型肝炎灭活疫苗（人二倍体细胞）"</f>
        <v>甲型肝炎灭活疫苗（人二倍体细胞）</v>
      </c>
      <c r="B1639" s="1">
        <v>199</v>
      </c>
      <c r="C1639" s="1" t="str">
        <f t="shared" ref="C1639:C1643" si="505">"0.5ml"</f>
        <v>0.5ml</v>
      </c>
      <c r="D1639" s="1" t="str">
        <f t="shared" si="504"/>
        <v>支</v>
      </c>
      <c r="E1639" s="1" t="str">
        <f t="shared" si="500"/>
        <v>生物制品</v>
      </c>
    </row>
    <row r="1640" spans="1:5">
      <c r="A1640" s="1" t="str">
        <f>"九价人乳头瘤病毒疫苗（优惠）"</f>
        <v>九价人乳头瘤病毒疫苗（优惠）</v>
      </c>
      <c r="B1640" s="1">
        <v>1212</v>
      </c>
      <c r="C1640" s="1" t="str">
        <f t="shared" si="505"/>
        <v>0.5ml</v>
      </c>
      <c r="D1640" s="1" t="str">
        <f t="shared" si="504"/>
        <v>支</v>
      </c>
      <c r="E1640" s="1" t="str">
        <f t="shared" si="500"/>
        <v>生物制品</v>
      </c>
    </row>
    <row r="1641" spans="1:5">
      <c r="A1641" s="1" t="str">
        <f>"ACYW135群脑膜炎球菌多糖结合疫苗"</f>
        <v>ACYW135群脑膜炎球菌多糖结合疫苗</v>
      </c>
      <c r="B1641" s="1">
        <v>420</v>
      </c>
      <c r="C1641" s="1" t="str">
        <f t="shared" si="505"/>
        <v>0.5ml</v>
      </c>
      <c r="D1641" s="1" t="str">
        <f t="shared" si="504"/>
        <v>支</v>
      </c>
      <c r="E1641" s="1" t="str">
        <f t="shared" si="500"/>
        <v>生物制品</v>
      </c>
    </row>
    <row r="1642" spans="1:5">
      <c r="A1642" s="1" t="str">
        <f>"带状疱疹减毒活疫苗"</f>
        <v>带状疱疹减毒活疫苗</v>
      </c>
      <c r="B1642" s="1">
        <v>1369</v>
      </c>
      <c r="C1642" s="1" t="str">
        <f t="shared" si="505"/>
        <v>0.5ml</v>
      </c>
      <c r="D1642" s="1" t="str">
        <f t="shared" si="504"/>
        <v>支</v>
      </c>
      <c r="E1642" s="1" t="str">
        <f t="shared" si="500"/>
        <v>生物制品</v>
      </c>
    </row>
    <row r="1643" spans="1:5">
      <c r="A1643" s="1" t="str">
        <f>"四价流感病毒亚单位疫苗"</f>
        <v>四价流感病毒亚单位疫苗</v>
      </c>
      <c r="B1643" s="1">
        <v>319</v>
      </c>
      <c r="C1643" s="1" t="str">
        <f t="shared" si="505"/>
        <v>0.5ml</v>
      </c>
      <c r="D1643" s="1" t="str">
        <f t="shared" si="504"/>
        <v>支</v>
      </c>
      <c r="E1643" s="1" t="str">
        <f t="shared" si="500"/>
        <v>生物制品</v>
      </c>
    </row>
    <row r="1644" spans="1:5">
      <c r="A1644" s="1" t="str">
        <f>"预防接种服务费"</f>
        <v>预防接种服务费</v>
      </c>
      <c r="B1644" s="1">
        <v>20</v>
      </c>
      <c r="C1644" s="1">
        <v>1</v>
      </c>
      <c r="D1644" s="1" t="str">
        <f t="shared" ref="D1644:D1647" si="506">"次"</f>
        <v>次</v>
      </c>
      <c r="E1644" s="1" t="str">
        <f>"预防接种费"</f>
        <v>预防接种费</v>
      </c>
    </row>
    <row r="1645" spans="1:5">
      <c r="A1645" s="1" t="str">
        <f>"体检费10"</f>
        <v>体检费10</v>
      </c>
      <c r="B1645" s="1">
        <v>10</v>
      </c>
      <c r="C1645" s="1" t="str">
        <f t="shared" ref="C1645:C1647" si="507">"次"</f>
        <v>次</v>
      </c>
      <c r="D1645" s="1" t="str">
        <f t="shared" si="506"/>
        <v>次</v>
      </c>
      <c r="E1645" s="1" t="str">
        <f t="shared" ref="E1645:E1647" si="508">"体检费"</f>
        <v>体检费</v>
      </c>
    </row>
    <row r="1646" spans="1:5">
      <c r="A1646" s="1" t="str">
        <f>"体检费(Z)"</f>
        <v>体检费(Z)</v>
      </c>
      <c r="B1646" s="1">
        <v>110</v>
      </c>
      <c r="C1646" s="1" t="str">
        <f t="shared" si="507"/>
        <v>次</v>
      </c>
      <c r="D1646" s="1" t="str">
        <f t="shared" si="506"/>
        <v>次</v>
      </c>
      <c r="E1646" s="1" t="str">
        <f t="shared" si="508"/>
        <v>体检费</v>
      </c>
    </row>
    <row r="1647" spans="1:5">
      <c r="A1647" s="1" t="str">
        <f>"体检费"</f>
        <v>体检费</v>
      </c>
      <c r="B1647" s="1">
        <v>150</v>
      </c>
      <c r="C1647" s="1" t="str">
        <f t="shared" si="507"/>
        <v>次</v>
      </c>
      <c r="D1647" s="1" t="str">
        <f t="shared" si="506"/>
        <v>次</v>
      </c>
      <c r="E1647" s="1" t="str">
        <f t="shared" si="508"/>
        <v>体检费</v>
      </c>
    </row>
    <row r="1648" spans="1:5">
      <c r="A1648" s="1" t="str">
        <f>"Rh（D）定型（夫妻俩）"</f>
        <v>Rh（D）定型（夫妻俩）</v>
      </c>
      <c r="B1648" s="1">
        <v>20</v>
      </c>
      <c r="C1648" s="1" t="str">
        <f>"项"</f>
        <v>项</v>
      </c>
      <c r="D1648" s="1" t="str">
        <f>"项"</f>
        <v>项</v>
      </c>
      <c r="E1648" s="1" t="str">
        <f>"检验费"</f>
        <v>检验费</v>
      </c>
    </row>
    <row r="1649" spans="1:5">
      <c r="A1649" s="1" t="str">
        <f>"中医保健配方、膏药配制费一公斤加收"</f>
        <v>中医保健配方、膏药配制费一公斤加收</v>
      </c>
      <c r="B1649" s="1">
        <v>40</v>
      </c>
      <c r="C1649" s="1" t="str">
        <f>"项"</f>
        <v>项</v>
      </c>
      <c r="D1649" s="1" t="str">
        <f>"项"</f>
        <v>项</v>
      </c>
      <c r="E1649" s="1" t="str">
        <f>"服务收入"</f>
        <v>服务收入</v>
      </c>
    </row>
    <row r="1650" spans="1:5">
      <c r="A1650" s="1" t="str">
        <f>"CADICAM二氧钴铬瓷冠"</f>
        <v>CADICAM二氧钴铬瓷冠</v>
      </c>
      <c r="B1650" s="1">
        <v>3500</v>
      </c>
      <c r="C1650" s="1" t="str">
        <f>"项"</f>
        <v>项</v>
      </c>
      <c r="D1650" s="1" t="str">
        <f>"项"</f>
        <v>项</v>
      </c>
      <c r="E1650" s="1" t="str">
        <f>"治疗费(含材料费)"</f>
        <v>治疗费(含材料费)</v>
      </c>
    </row>
    <row r="1651" spans="1:5">
      <c r="A1651" s="1" t="str">
        <f>"丙型肝炎病毒（HCV-RNA）"</f>
        <v>丙型肝炎病毒（HCV-RNA）</v>
      </c>
      <c r="B1651" s="1">
        <v>150</v>
      </c>
      <c r="C1651" s="1" t="str">
        <f>"项"</f>
        <v>项</v>
      </c>
      <c r="D1651" s="1" t="str">
        <f>"项"</f>
        <v>项</v>
      </c>
      <c r="E1651" s="1" t="str">
        <f t="shared" ref="E1651:E1654" si="509">"检验费"</f>
        <v>检验费</v>
      </c>
    </row>
    <row r="1652" spans="1:5">
      <c r="A1652" s="1" t="str">
        <f>"被动操（签约服务包专用）A"</f>
        <v>被动操（签约服务包专用）A</v>
      </c>
      <c r="B1652" s="1">
        <v>250</v>
      </c>
      <c r="C1652" s="1" t="str">
        <f>"项"</f>
        <v>项</v>
      </c>
      <c r="D1652" s="1" t="str">
        <f>"项"</f>
        <v>项</v>
      </c>
      <c r="E1652" s="1" t="str">
        <f>"治疗费"</f>
        <v>治疗费</v>
      </c>
    </row>
    <row r="1653" spans="1:5">
      <c r="A1653" s="1" t="str">
        <f>"抗AIgG(凝聚胺法）"</f>
        <v>抗AIgG(凝聚胺法）</v>
      </c>
      <c r="B1653" s="1">
        <v>50</v>
      </c>
      <c r="C1653" s="1" t="str">
        <f>"项"</f>
        <v>项</v>
      </c>
      <c r="D1653" s="1" t="str">
        <f>"项"</f>
        <v>项</v>
      </c>
      <c r="E1653" s="1" t="str">
        <f t="shared" si="509"/>
        <v>检验费</v>
      </c>
    </row>
    <row r="1654" spans="1:5">
      <c r="A1654" s="1" t="str">
        <f>"糖尿病远端对称多发性神经病变（dspn）"</f>
        <v>糖尿病远端对称多发性神经病变（dspn）</v>
      </c>
      <c r="B1654" s="1">
        <v>30</v>
      </c>
      <c r="C1654" s="1" t="str">
        <f>"项"</f>
        <v>项</v>
      </c>
      <c r="D1654" s="1" t="str">
        <f>"项"</f>
        <v>项</v>
      </c>
      <c r="E1654" s="1" t="str">
        <f t="shared" si="509"/>
        <v>检验费</v>
      </c>
    </row>
    <row r="1655" spans="1:5">
      <c r="A1655" s="1" t="str">
        <f>"内科检查"</f>
        <v>内科检查</v>
      </c>
      <c r="B1655" s="1">
        <v>8</v>
      </c>
      <c r="C1655" s="1" t="str">
        <f>"项"</f>
        <v>项</v>
      </c>
      <c r="D1655" s="1" t="str">
        <f>"项"</f>
        <v>项</v>
      </c>
      <c r="E1655" s="1" t="str">
        <f>"检查费"</f>
        <v>检查费</v>
      </c>
    </row>
    <row r="1656" spans="1:5">
      <c r="A1656" s="1" t="str">
        <f>"被动操（签约服务包专用）B"</f>
        <v>被动操（签约服务包专用）B</v>
      </c>
      <c r="B1656" s="1">
        <v>180</v>
      </c>
      <c r="C1656" s="1" t="str">
        <f>"项"</f>
        <v>项</v>
      </c>
      <c r="D1656" s="1" t="str">
        <f t="shared" ref="D1656:D1661" si="510">"项"</f>
        <v>项</v>
      </c>
      <c r="E1656" s="1" t="str">
        <f>"治疗费"</f>
        <v>治疗费</v>
      </c>
    </row>
    <row r="1657" spans="1:5">
      <c r="A1657" s="1" t="str">
        <f>"中医体质评估"</f>
        <v>中医体质评估</v>
      </c>
      <c r="B1657" s="1">
        <v>60</v>
      </c>
      <c r="C1657" s="1" t="str">
        <f>"项"</f>
        <v>项</v>
      </c>
      <c r="D1657" s="1" t="str">
        <f t="shared" si="510"/>
        <v>项</v>
      </c>
      <c r="E1657" s="1" t="str">
        <f>"其他费用"</f>
        <v>其他费用</v>
      </c>
    </row>
    <row r="1658" spans="1:5">
      <c r="A1658" s="1" t="str">
        <f>"妇科检查"</f>
        <v>妇科检查</v>
      </c>
      <c r="B1658" s="1">
        <v>10</v>
      </c>
      <c r="C1658" s="1" t="str">
        <f>"次"</f>
        <v>次</v>
      </c>
      <c r="D1658" s="1" t="str">
        <f t="shared" si="510"/>
        <v>项</v>
      </c>
      <c r="E1658" s="1" t="str">
        <f>"检查费"</f>
        <v>检查费</v>
      </c>
    </row>
    <row r="1659" spans="1:5">
      <c r="A1659" s="1" t="str">
        <f>"口腔检查"</f>
        <v>口腔检查</v>
      </c>
      <c r="B1659" s="1">
        <v>8</v>
      </c>
      <c r="C1659" s="1" t="str">
        <f t="shared" ref="C1659:C1661" si="511">"项"</f>
        <v>项</v>
      </c>
      <c r="D1659" s="1" t="str">
        <f t="shared" si="510"/>
        <v>项</v>
      </c>
      <c r="E1659" s="1" t="str">
        <f>"检查费"</f>
        <v>检查费</v>
      </c>
    </row>
    <row r="1660" spans="1:5">
      <c r="A1660" s="1" t="str">
        <f>"梅毒二项定性（RPR定性、TPPA定性）"</f>
        <v>梅毒二项定性（RPR定性、TPPA定性）</v>
      </c>
      <c r="B1660" s="1">
        <v>40</v>
      </c>
      <c r="C1660" s="1" t="str">
        <f t="shared" si="511"/>
        <v>项</v>
      </c>
      <c r="D1660" s="1" t="str">
        <f t="shared" si="510"/>
        <v>项</v>
      </c>
      <c r="E1660" s="1" t="str">
        <f>"检验费"</f>
        <v>检验费</v>
      </c>
    </row>
    <row r="1661" spans="1:5">
      <c r="A1661" s="1" t="str">
        <f>"儿童体检费"</f>
        <v>儿童体检费</v>
      </c>
      <c r="B1661" s="1">
        <v>10</v>
      </c>
      <c r="C1661" s="1" t="str">
        <f t="shared" si="511"/>
        <v>项</v>
      </c>
      <c r="D1661" s="1" t="str">
        <f t="shared" si="510"/>
        <v>项</v>
      </c>
      <c r="E1661" s="1" t="str">
        <f>"检查费"</f>
        <v>检查费</v>
      </c>
    </row>
    <row r="1662" spans="1:5">
      <c r="A1662" s="1" t="str">
        <f>"五官检查"</f>
        <v>五官检查</v>
      </c>
      <c r="B1662" s="1">
        <v>10</v>
      </c>
      <c r="C1662" s="1" t="str">
        <f>"项"</f>
        <v>项</v>
      </c>
      <c r="D1662" s="1" t="str">
        <f>"项"</f>
        <v>项</v>
      </c>
      <c r="E1662" s="1" t="str">
        <f>"检查费"</f>
        <v>检查费</v>
      </c>
    </row>
    <row r="1663" spans="1:5">
      <c r="A1663" s="1" t="str">
        <f>"硫酸去氢表雄酮"</f>
        <v>硫酸去氢表雄酮</v>
      </c>
      <c r="B1663" s="1">
        <v>40</v>
      </c>
      <c r="C1663" s="1" t="str">
        <f>"项"</f>
        <v>项</v>
      </c>
      <c r="D1663" s="1" t="str">
        <f>"项"</f>
        <v>项</v>
      </c>
      <c r="E1663" s="1" t="str">
        <f>"检验费"</f>
        <v>检验费</v>
      </c>
    </row>
    <row r="1664" spans="1:5">
      <c r="A1664" s="1" t="str">
        <f>"钴铬烤瓷冠"</f>
        <v>钴铬烤瓷冠</v>
      </c>
      <c r="B1664" s="1">
        <v>800</v>
      </c>
      <c r="C1664" s="1" t="str">
        <f>"项"</f>
        <v>项</v>
      </c>
      <c r="D1664" s="1" t="str">
        <f>"每牙"</f>
        <v>每牙</v>
      </c>
      <c r="E1664" s="1" t="str">
        <f>"治疗费(含材料费)"</f>
        <v>治疗费(含材料费)</v>
      </c>
    </row>
    <row r="1665" spans="1:5">
      <c r="A1665" s="1" t="str">
        <f>"抗BIgG(凝聚胺法）"</f>
        <v>抗BIgG(凝聚胺法）</v>
      </c>
      <c r="B1665" s="1">
        <v>50</v>
      </c>
      <c r="C1665" s="1" t="str">
        <f>"项"</f>
        <v>项</v>
      </c>
      <c r="D1665" s="1" t="str">
        <f>"项"</f>
        <v>项</v>
      </c>
      <c r="E1665" s="1" t="str">
        <f>"检验费"</f>
        <v>检验费</v>
      </c>
    </row>
    <row r="1666" spans="1:5">
      <c r="A1666" s="1" t="str">
        <f>"雄烯二酮测定"</f>
        <v>雄烯二酮测定</v>
      </c>
      <c r="B1666" s="1">
        <v>46</v>
      </c>
      <c r="C1666" s="1" t="str">
        <f>"项"</f>
        <v>项</v>
      </c>
      <c r="D1666" s="1" t="str">
        <f>"项"</f>
        <v>项</v>
      </c>
      <c r="E1666" s="1" t="str">
        <f>"检验费"</f>
        <v>检验费</v>
      </c>
    </row>
    <row r="1667" spans="1:5">
      <c r="A1667" s="1" t="str">
        <f>"外科检查"</f>
        <v>外科检查</v>
      </c>
      <c r="B1667" s="1">
        <v>8</v>
      </c>
      <c r="C1667" s="1" t="str">
        <f>"项"</f>
        <v>项</v>
      </c>
      <c r="D1667" s="1" t="str">
        <f>"项"</f>
        <v>项</v>
      </c>
      <c r="E1667" s="1" t="str">
        <f>"检查费"</f>
        <v>检查费</v>
      </c>
    </row>
    <row r="1668" spans="1:5">
      <c r="A1668" s="1" t="str">
        <f>"氟保护漆"</f>
        <v>氟保护漆</v>
      </c>
      <c r="B1668" s="1">
        <v>4</v>
      </c>
      <c r="C1668" s="1" t="str">
        <f>"项"</f>
        <v>项</v>
      </c>
      <c r="D1668" s="1" t="str">
        <f>"每牙"</f>
        <v>每牙</v>
      </c>
      <c r="E1668" s="1" t="str">
        <f>"治疗费(含材料费)"</f>
        <v>治疗费(含材料费)</v>
      </c>
    </row>
    <row r="1669" spans="1:5">
      <c r="A1669" s="1" t="str">
        <f>"乳腺疏通双侧"</f>
        <v>乳腺疏通双侧</v>
      </c>
      <c r="B1669" s="1">
        <v>250</v>
      </c>
      <c r="C1669" s="1" t="str">
        <f>"项"</f>
        <v>项</v>
      </c>
      <c r="D1669" s="1" t="str">
        <f>"项"</f>
        <v>项</v>
      </c>
      <c r="E1669" s="1" t="str">
        <f>"治疗费"</f>
        <v>治疗费</v>
      </c>
    </row>
    <row r="1670" spans="1:5">
      <c r="A1670" s="1" t="str">
        <f>"抗HCG抗体"</f>
        <v>抗HCG抗体</v>
      </c>
      <c r="B1670" s="1">
        <v>69</v>
      </c>
      <c r="C1670" s="1" t="str">
        <f>"项"</f>
        <v>项</v>
      </c>
      <c r="D1670" s="1" t="str">
        <f>"项"</f>
        <v>项</v>
      </c>
      <c r="E1670" s="1" t="str">
        <f>"检验费"</f>
        <v>检验费</v>
      </c>
    </row>
    <row r="1671" spans="1:5">
      <c r="A1671" s="1" t="str">
        <f>"临时冠"</f>
        <v>临时冠</v>
      </c>
      <c r="B1671" s="1">
        <v>100</v>
      </c>
      <c r="C1671" s="1" t="str">
        <f>"每牙"</f>
        <v>每牙</v>
      </c>
      <c r="D1671" s="1" t="str">
        <f>"每牙"</f>
        <v>每牙</v>
      </c>
      <c r="E1671" s="1" t="str">
        <f>"治疗费(含材料费)"</f>
        <v>治疗费(含材料费)</v>
      </c>
    </row>
    <row r="1672" spans="1:5">
      <c r="A1672" s="1" t="str">
        <f>"机用镍钛锉"</f>
        <v>机用镍钛锉</v>
      </c>
      <c r="B1672" s="1">
        <v>53</v>
      </c>
      <c r="C1672" s="1" t="str">
        <f>"项"</f>
        <v>项</v>
      </c>
      <c r="D1672" s="1" t="str">
        <f>"项"</f>
        <v>项</v>
      </c>
      <c r="E1672" s="1" t="str">
        <f>"治疗费(含材料费)"</f>
        <v>治疗费(含材料费)</v>
      </c>
    </row>
    <row r="1673" spans="1:5">
      <c r="A1673" s="1" t="str">
        <f>"其他推拿治疗超过10分钟加收"</f>
        <v>其他推拿治疗超过10分钟加收</v>
      </c>
      <c r="B1673" s="1">
        <v>21</v>
      </c>
      <c r="C1673" s="1" t="str">
        <f>"项"</f>
        <v>项</v>
      </c>
      <c r="D1673" s="1" t="str">
        <f>"项"</f>
        <v>项</v>
      </c>
      <c r="E1673" s="1" t="str">
        <f>"治疗费"</f>
        <v>治疗费</v>
      </c>
    </row>
    <row r="1674" spans="1:5">
      <c r="A1674" s="1" t="str">
        <f>"人体成分分析"</f>
        <v>人体成分分析</v>
      </c>
      <c r="B1674" s="1">
        <v>110</v>
      </c>
      <c r="C1674" s="1" t="str">
        <f>"项"</f>
        <v>项</v>
      </c>
      <c r="D1674" s="1" t="str">
        <f>"项"</f>
        <v>项</v>
      </c>
      <c r="E1674" s="1" t="str">
        <f>"检查费"</f>
        <v>检查费</v>
      </c>
    </row>
    <row r="1675" spans="1:5">
      <c r="A1675" s="1" t="str">
        <f>"阴道电极（生）"</f>
        <v>阴道电极（生）</v>
      </c>
      <c r="B1675" s="1">
        <v>200</v>
      </c>
      <c r="C1675" s="1" t="str">
        <f>"项"</f>
        <v>项</v>
      </c>
      <c r="D1675" s="1" t="str">
        <f>"项"</f>
        <v>项</v>
      </c>
      <c r="E1675" s="1" t="str">
        <f>"治疗费(含材料费)"</f>
        <v>治疗费(含材料费)</v>
      </c>
    </row>
    <row r="1676" spans="1:5">
      <c r="A1676" s="1" t="str">
        <f>"口腔护理"</f>
        <v>口腔护理</v>
      </c>
      <c r="B1676" s="1">
        <v>5</v>
      </c>
      <c r="C1676" s="1" t="str">
        <f>"次"</f>
        <v>次</v>
      </c>
      <c r="D1676" s="1" t="str">
        <f>"次"</f>
        <v>次</v>
      </c>
      <c r="E1676" s="1" t="str">
        <f>"一般护理费"</f>
        <v>一般护理费</v>
      </c>
    </row>
    <row r="1677" spans="1:5">
      <c r="A1677" s="1" t="str">
        <f>"微量元素测定(铁)"</f>
        <v>微量元素测定(铁)</v>
      </c>
      <c r="B1677" s="1">
        <v>6</v>
      </c>
      <c r="C1677" s="1" t="str">
        <f t="shared" ref="C1677:C1679" si="512">"项"</f>
        <v>项</v>
      </c>
      <c r="D1677" s="1" t="str">
        <f>"项"</f>
        <v>项</v>
      </c>
      <c r="E1677" s="1" t="str">
        <f t="shared" ref="E1677:E1680" si="513">"检验费"</f>
        <v>检验费</v>
      </c>
    </row>
    <row r="1678" spans="1:5">
      <c r="A1678" s="1" t="str">
        <f>"微量元素测定(钙)"</f>
        <v>微量元素测定(钙)</v>
      </c>
      <c r="B1678" s="1">
        <v>6</v>
      </c>
      <c r="C1678" s="1" t="str">
        <f t="shared" si="512"/>
        <v>项</v>
      </c>
      <c r="D1678" s="1" t="str">
        <f>"项"</f>
        <v>项</v>
      </c>
      <c r="E1678" s="1" t="str">
        <f t="shared" si="513"/>
        <v>检验费</v>
      </c>
    </row>
    <row r="1679" spans="1:5">
      <c r="A1679" s="1" t="str">
        <f>"微量元素测定(镁)"</f>
        <v>微量元素测定(镁)</v>
      </c>
      <c r="B1679" s="1">
        <v>6</v>
      </c>
      <c r="C1679" s="1" t="str">
        <f t="shared" si="512"/>
        <v>项</v>
      </c>
      <c r="D1679" s="1" t="str">
        <f>"项"</f>
        <v>项</v>
      </c>
      <c r="E1679" s="1" t="str">
        <f t="shared" si="513"/>
        <v>检验费</v>
      </c>
    </row>
    <row r="1680" spans="1:5">
      <c r="A1680" s="1" t="str">
        <f>"抗双链DNA测定(抗dsDNA)（ELISA法）"</f>
        <v>抗双链DNA测定(抗dsDNA)（ELISA法）</v>
      </c>
      <c r="B1680" s="1">
        <v>100</v>
      </c>
      <c r="C1680" s="1">
        <v>1</v>
      </c>
      <c r="D1680" s="1" t="str">
        <f>"项"</f>
        <v>项</v>
      </c>
      <c r="E1680" s="1" t="str">
        <f t="shared" si="513"/>
        <v>检验费</v>
      </c>
    </row>
    <row r="1681" spans="1:5">
      <c r="A1681" s="1" t="str">
        <f>"痰培养"</f>
        <v>痰培养</v>
      </c>
      <c r="B1681" s="1">
        <v>100</v>
      </c>
      <c r="C1681" s="1" t="str">
        <f>"项"</f>
        <v>项</v>
      </c>
      <c r="D1681" s="1" t="str">
        <f>"项"</f>
        <v>项</v>
      </c>
      <c r="E1681" s="1" t="str">
        <f>"检验费"</f>
        <v>检验费</v>
      </c>
    </row>
    <row r="1682" spans="1:5">
      <c r="A1682" s="1" t="str">
        <f>"尿培养"</f>
        <v>尿培养</v>
      </c>
      <c r="B1682" s="1">
        <v>100</v>
      </c>
      <c r="C1682" s="1" t="str">
        <f>"项"</f>
        <v>项</v>
      </c>
      <c r="D1682" s="1" t="str">
        <f>"项"</f>
        <v>项</v>
      </c>
      <c r="E1682" s="1" t="str">
        <f>"检验费"</f>
        <v>检验费</v>
      </c>
    </row>
    <row r="1683" spans="1:5">
      <c r="A1683" s="1" t="str">
        <f>"省级离休干部签约费"</f>
        <v>省级离休干部签约费</v>
      </c>
      <c r="B1683" s="1">
        <v>1200</v>
      </c>
      <c r="C1683" s="1" t="str">
        <f>"项"</f>
        <v>项</v>
      </c>
      <c r="D1683" s="1" t="str">
        <f>"项"</f>
        <v>项</v>
      </c>
      <c r="E1683" s="1" t="str">
        <f>"签约服务费"</f>
        <v>签约服务费</v>
      </c>
    </row>
    <row r="1684" spans="1:5">
      <c r="A1684" s="1" t="str">
        <f>"常规心电图检查十二通道(签约)"</f>
        <v>常规心电图检查十二通道(签约)</v>
      </c>
      <c r="B1684" s="1">
        <v>10</v>
      </c>
      <c r="C1684" s="1" t="str">
        <f>"项"</f>
        <v>项</v>
      </c>
      <c r="D1684" s="1" t="str">
        <f>"项"</f>
        <v>项</v>
      </c>
      <c r="E1684" s="1" t="str">
        <f>"检查费"</f>
        <v>检查费</v>
      </c>
    </row>
    <row r="1685" spans="1:5">
      <c r="A1685" s="1" t="str">
        <f>"甲型流感病毒（Flu A）核酸检测"</f>
        <v>甲型流感病毒（Flu A）核酸检测</v>
      </c>
      <c r="B1685" s="1">
        <v>50</v>
      </c>
      <c r="C1685" s="1" t="str">
        <f>"实时PCR法"</f>
        <v>实时PCR法</v>
      </c>
      <c r="D1685" s="1" t="str">
        <f>"次"</f>
        <v>次</v>
      </c>
      <c r="E1685" s="1" t="str">
        <f>"检验费"</f>
        <v>检验费</v>
      </c>
    </row>
    <row r="1686" spans="1:5">
      <c r="A1686" s="1" t="str">
        <f>"乙型流感病毒（Flu B）核酸检测"</f>
        <v>乙型流感病毒（Flu B）核酸检测</v>
      </c>
      <c r="B1686" s="1">
        <v>50</v>
      </c>
      <c r="C1686" s="1" t="str">
        <f>"实时PCR法"</f>
        <v>实时PCR法</v>
      </c>
      <c r="D1686" s="1" t="str">
        <f>"次"</f>
        <v>次</v>
      </c>
      <c r="E1686" s="1" t="str">
        <f>"检验费"</f>
        <v>检验费</v>
      </c>
    </row>
    <row r="1687" spans="1:5">
      <c r="A1687" s="1" t="str">
        <f>"彩色多普勒超声常规检查（个性签约）"</f>
        <v>彩色多普勒超声常规检查（个性签约）</v>
      </c>
      <c r="B1687" s="1">
        <v>35</v>
      </c>
      <c r="C1687" s="1" t="str">
        <f>"项"</f>
        <v>项</v>
      </c>
      <c r="D1687" s="1" t="str">
        <f>"项"</f>
        <v>项</v>
      </c>
      <c r="E1687" s="1" t="str">
        <f>"彩超费"</f>
        <v>彩超费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幕府收费项目（2024）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荷</cp:lastModifiedBy>
  <dcterms:created xsi:type="dcterms:W3CDTF">2024-05-06T03:14:00Z</dcterms:created>
  <dcterms:modified xsi:type="dcterms:W3CDTF">2024-05-06T03:18:39Z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5B59BD613B0D4533B4701EE055C6AA25_13</vt:lpwstr>
  </property>
  <property fmtid="{D5CDD505-2E9C-101B-9397-08002B2CF9AE}" pid="3" name="KSOProductBuildVer">
    <vt:lpwstr>2052-12.1.0.16729</vt:lpwstr>
  </property>
</Properties>
</file>