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宁海" sheetId="1" r:id="rId1"/>
  </sheets>
  <definedNames>
    <definedName name="_xlnm._FilterDatabase" localSheetId="0" hidden="1">宁海!$E$1:$E$720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<sst xmlns="http://schemas.openxmlformats.org/spreadsheetml/2006/main" count="5" uniqueCount="5">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</sst>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0"/>
  <sheetViews>
    <sheetView tabSelected="1" zoomScaleSheetLayoutView="60" workbookViewId="0">
      <selection activeCell="G28" sqref="G28"/>
    </sheetView>
  </sheetViews>
  <sheetFormatPr defaultColWidth="16.7272727272727" defaultRowHeight="14" outlineLevelCol="4"/>
  <cols>
    <col min="1" max="1" width="39.8181818181818" style="1" customWidth="1"/>
    <col min="2" max="16384" width="16.7272727272727" style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"C-反应蛋白测定(CRP)"</f>
        <v>C-反应蛋白测定(CRP)</v>
      </c>
      <c r="B2" s="1">
        <v>20</v>
      </c>
      <c r="C2" s="1" t="str">
        <f>"项"</f>
        <v>项</v>
      </c>
      <c r="D2" s="1" t="str">
        <f>"项"</f>
        <v>项</v>
      </c>
      <c r="E2" s="1" t="str">
        <f>"检验费"</f>
        <v>检验费</v>
      </c>
    </row>
    <row r="3" spans="1:5">
      <c r="A3" s="1" t="str">
        <f>"中药贴敷"</f>
        <v>中药贴敷</v>
      </c>
      <c r="B3" s="1">
        <v>53</v>
      </c>
      <c r="C3" s="1" t="str">
        <f t="shared" ref="C3:C33" si="0">"次"</f>
        <v>次</v>
      </c>
      <c r="D3" s="1" t="str">
        <f t="shared" ref="D3:D7" si="1">"次"</f>
        <v>次</v>
      </c>
      <c r="E3" s="1" t="str">
        <f t="shared" ref="E3:E33" si="2">"治疗费"</f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"中药贴敷-特殊材料贴敷（扩展）"</f>
        <v>中药贴敷-特殊材料贴敷（扩展）</v>
      </c>
      <c r="B5" s="1">
        <v>53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"中药烫熨"</f>
        <v>中药烫熨</v>
      </c>
      <c r="B6" s="1">
        <v>41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"中药溻渍"</f>
        <v>中药溻渍</v>
      </c>
      <c r="B7" s="1">
        <v>15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"中医挑治"</f>
        <v>中医挑治</v>
      </c>
      <c r="B8" s="1">
        <v>25</v>
      </c>
      <c r="C8" s="1" t="str">
        <f t="shared" si="0"/>
        <v>次</v>
      </c>
      <c r="D8" s="1" t="str">
        <f>"挑治部位"</f>
        <v>挑治部位</v>
      </c>
      <c r="E8" s="1" t="str">
        <f t="shared" si="2"/>
        <v>治疗费</v>
      </c>
    </row>
    <row r="9" spans="1:5">
      <c r="A9" s="1" t="str">
        <f>"中医穴位放血治疗"</f>
        <v>中医穴位放血治疗</v>
      </c>
      <c r="B9" s="1">
        <v>56</v>
      </c>
      <c r="C9" s="1" t="str">
        <f t="shared" si="0"/>
        <v>次</v>
      </c>
      <c r="D9" s="1" t="str">
        <f t="shared" ref="D9:D26" si="3">"次"</f>
        <v>次</v>
      </c>
      <c r="E9" s="1" t="str">
        <f t="shared" si="2"/>
        <v>治疗费</v>
      </c>
    </row>
    <row r="10" spans="1:5">
      <c r="A10" s="1" t="str">
        <f>"中医穴位放血治疗-甲床放血（加收）"</f>
        <v>中医穴位放血治疗-甲床放血（加收）</v>
      </c>
      <c r="B10" s="1">
        <v>5.6</v>
      </c>
      <c r="C10" s="1" t="str">
        <f t="shared" si="0"/>
        <v>次</v>
      </c>
      <c r="D10" s="1" t="str">
        <f>"每甲"</f>
        <v>每甲</v>
      </c>
      <c r="E10" s="1" t="str">
        <f t="shared" si="2"/>
        <v>治疗费</v>
      </c>
    </row>
    <row r="11" spans="1:5">
      <c r="A11" s="1" t="str">
        <f>"中医穴位放血治疗-刺络放血（加收）"</f>
        <v>中医穴位放血治疗-刺络放血（加收）</v>
      </c>
      <c r="B11" s="1">
        <v>5.6</v>
      </c>
      <c r="C11" s="1" t="str">
        <f t="shared" si="0"/>
        <v>次</v>
      </c>
      <c r="D11" s="1" t="str">
        <f t="shared" si="3"/>
        <v>次</v>
      </c>
      <c r="E11" s="1" t="str">
        <f t="shared" si="2"/>
        <v>治疗费</v>
      </c>
    </row>
    <row r="12" spans="1:5">
      <c r="A12" s="1" t="str">
        <f>"中医刮痧"</f>
        <v>中医刮痧</v>
      </c>
      <c r="B12" s="1">
        <v>79</v>
      </c>
      <c r="C12" s="1" t="str">
        <f t="shared" si="0"/>
        <v>次</v>
      </c>
      <c r="D12" s="1" t="str">
        <f t="shared" si="3"/>
        <v>次</v>
      </c>
      <c r="E12" s="1" t="str">
        <f t="shared" si="2"/>
        <v>治疗费</v>
      </c>
    </row>
    <row r="13" spans="1:5">
      <c r="A13" s="1" t="str">
        <f>"砭石疗法"</f>
        <v>砭石疗法</v>
      </c>
      <c r="B13" s="1">
        <v>79</v>
      </c>
      <c r="C13" s="1" t="str">
        <f t="shared" si="0"/>
        <v>次</v>
      </c>
      <c r="D13" s="1" t="str">
        <f t="shared" si="3"/>
        <v>次</v>
      </c>
      <c r="E13" s="1" t="str">
        <f t="shared" si="2"/>
        <v>治疗费</v>
      </c>
    </row>
    <row r="14" spans="1:5">
      <c r="A14" s="1" t="str">
        <f>"悬空灸"</f>
        <v>悬空灸</v>
      </c>
      <c r="B14" s="1">
        <v>46</v>
      </c>
      <c r="C14" s="1" t="str">
        <f t="shared" si="0"/>
        <v>次</v>
      </c>
      <c r="D14" s="1" t="str">
        <f t="shared" si="3"/>
        <v>次</v>
      </c>
      <c r="E14" s="1" t="str">
        <f t="shared" si="2"/>
        <v>治疗费</v>
      </c>
    </row>
    <row r="15" spans="1:5">
      <c r="A15" s="1" t="str">
        <f>"直接灸"</f>
        <v>直接灸</v>
      </c>
      <c r="B15" s="1">
        <v>19</v>
      </c>
      <c r="C15" s="1" t="str">
        <f t="shared" si="0"/>
        <v>次</v>
      </c>
      <c r="D15" s="1" t="str">
        <f t="shared" si="3"/>
        <v>次</v>
      </c>
      <c r="E15" s="1" t="str">
        <f t="shared" si="2"/>
        <v>治疗费</v>
      </c>
    </row>
    <row r="16" spans="1:5">
      <c r="A16" s="1" t="str">
        <f>"隔物灸"</f>
        <v>隔物灸</v>
      </c>
      <c r="B16" s="1">
        <v>24</v>
      </c>
      <c r="C16" s="1" t="str">
        <f t="shared" si="0"/>
        <v>次</v>
      </c>
      <c r="D16" s="1" t="str">
        <f t="shared" si="3"/>
        <v>次</v>
      </c>
      <c r="E16" s="1" t="str">
        <f t="shared" si="2"/>
        <v>治疗费</v>
      </c>
    </row>
    <row r="17" spans="1:5">
      <c r="A17" s="1" t="str">
        <f>"铺灸"</f>
        <v>铺灸</v>
      </c>
      <c r="B17" s="1">
        <v>120</v>
      </c>
      <c r="C17" s="1" t="str">
        <f t="shared" si="0"/>
        <v>次</v>
      </c>
      <c r="D17" s="1" t="str">
        <f t="shared" si="3"/>
        <v>次</v>
      </c>
      <c r="E17" s="1" t="str">
        <f t="shared" si="2"/>
        <v>治疗费</v>
      </c>
    </row>
    <row r="18" spans="1:5">
      <c r="A18" s="1" t="str">
        <f>"铺灸-（督灸（火龙灸））加收"</f>
        <v>铺灸-（督灸（火龙灸））加收</v>
      </c>
      <c r="B18" s="1">
        <v>24</v>
      </c>
      <c r="C18" s="1" t="str">
        <f t="shared" si="0"/>
        <v>次</v>
      </c>
      <c r="D18" s="1" t="str">
        <f t="shared" si="3"/>
        <v>次</v>
      </c>
      <c r="E18" s="1" t="str">
        <f t="shared" si="2"/>
        <v>治疗费</v>
      </c>
    </row>
    <row r="19" spans="1:5">
      <c r="A19" s="1" t="str">
        <f>"中医拔罐"</f>
        <v>中医拔罐</v>
      </c>
      <c r="B19" s="1">
        <v>42</v>
      </c>
      <c r="C19" s="1" t="str">
        <f t="shared" si="0"/>
        <v>次</v>
      </c>
      <c r="D19" s="1" t="str">
        <f t="shared" si="3"/>
        <v>次</v>
      </c>
      <c r="E19" s="1" t="str">
        <f t="shared" si="2"/>
        <v>治疗费</v>
      </c>
    </row>
    <row r="20" spans="1:5">
      <c r="A20" s="1" t="str">
        <f>"中医走罐"</f>
        <v>中医走罐</v>
      </c>
      <c r="B20" s="1">
        <v>30</v>
      </c>
      <c r="C20" s="1" t="str">
        <f t="shared" si="0"/>
        <v>次</v>
      </c>
      <c r="D20" s="1" t="str">
        <f t="shared" si="3"/>
        <v>次</v>
      </c>
      <c r="E20" s="1" t="str">
        <f t="shared" si="2"/>
        <v>治疗费</v>
      </c>
    </row>
    <row r="21" spans="1:5">
      <c r="A21" s="1" t="str">
        <f>"中医走罐-平衡罐（扩展）"</f>
        <v>中医走罐-平衡罐（扩展）</v>
      </c>
      <c r="B21" s="1">
        <v>30</v>
      </c>
      <c r="C21" s="1" t="str">
        <f t="shared" si="0"/>
        <v>次</v>
      </c>
      <c r="D21" s="1" t="str">
        <f t="shared" si="3"/>
        <v>次</v>
      </c>
      <c r="E21" s="1" t="str">
        <f t="shared" si="2"/>
        <v>治疗费</v>
      </c>
    </row>
    <row r="22" spans="1:5">
      <c r="A22" s="1" t="str">
        <f>"中医闪罐"</f>
        <v>中医闪罐</v>
      </c>
      <c r="B22" s="1">
        <v>63</v>
      </c>
      <c r="C22" s="1" t="str">
        <f t="shared" si="0"/>
        <v>次</v>
      </c>
      <c r="D22" s="1" t="str">
        <f t="shared" si="3"/>
        <v>次</v>
      </c>
      <c r="E22" s="1" t="str">
        <f t="shared" si="2"/>
        <v>治疗费</v>
      </c>
    </row>
    <row r="23" spans="1:5">
      <c r="A23" s="1" t="str">
        <f>"头面部疾病推拿"</f>
        <v>头面部疾病推拿</v>
      </c>
      <c r="B23" s="1">
        <v>55</v>
      </c>
      <c r="C23" s="1" t="str">
        <f t="shared" si="0"/>
        <v>次</v>
      </c>
      <c r="D23" s="1" t="str">
        <f t="shared" si="3"/>
        <v>次</v>
      </c>
      <c r="E23" s="1" t="str">
        <f t="shared" si="2"/>
        <v>治疗费</v>
      </c>
    </row>
    <row r="24" spans="1:5">
      <c r="A24" s="1" t="str">
        <f>"颈部疾病推拿"</f>
        <v>颈部疾病推拿</v>
      </c>
      <c r="B24" s="1">
        <v>54</v>
      </c>
      <c r="C24" s="1" t="str">
        <f t="shared" si="0"/>
        <v>次</v>
      </c>
      <c r="D24" s="1" t="str">
        <f t="shared" si="3"/>
        <v>次</v>
      </c>
      <c r="E24" s="1" t="str">
        <f t="shared" si="2"/>
        <v>治疗费</v>
      </c>
    </row>
    <row r="25" spans="1:5">
      <c r="A25" s="1" t="str">
        <f>"脊柱部位疾病推拿"</f>
        <v>脊柱部位疾病推拿</v>
      </c>
      <c r="B25" s="1">
        <v>42</v>
      </c>
      <c r="C25" s="1" t="str">
        <f t="shared" si="0"/>
        <v>次</v>
      </c>
      <c r="D25" s="1" t="str">
        <f t="shared" si="3"/>
        <v>次</v>
      </c>
      <c r="E25" s="1" t="str">
        <f t="shared" si="2"/>
        <v>治疗费</v>
      </c>
    </row>
    <row r="26" spans="1:5">
      <c r="A26" s="1" t="str">
        <f>"脊柱部位疾病推按-寰枢关节推拿（加收）"</f>
        <v>脊柱部位疾病推按-寰枢关节推拿（加收）</v>
      </c>
      <c r="B26" s="1">
        <v>12.6</v>
      </c>
      <c r="C26" s="1" t="str">
        <f t="shared" si="0"/>
        <v>次</v>
      </c>
      <c r="D26" s="1" t="str">
        <f t="shared" si="3"/>
        <v>次</v>
      </c>
      <c r="E26" s="1" t="str">
        <f t="shared" si="2"/>
        <v>治疗费</v>
      </c>
    </row>
    <row r="27" spans="1:5">
      <c r="A27" s="1" t="str">
        <f>"肩部疾病推拿"</f>
        <v>肩部疾病推拿</v>
      </c>
      <c r="B27" s="1">
        <v>42</v>
      </c>
      <c r="C27" s="1" t="str">
        <f t="shared" si="0"/>
        <v>次</v>
      </c>
      <c r="D27" s="1" t="str">
        <f>"单侧"</f>
        <v>单侧</v>
      </c>
      <c r="E27" s="1" t="str">
        <f t="shared" si="2"/>
        <v>治疗费</v>
      </c>
    </row>
    <row r="28" spans="1:5">
      <c r="A28" s="1" t="str">
        <f>"背部疾病推拿"</f>
        <v>背部疾病推拿</v>
      </c>
      <c r="B28" s="1">
        <v>81</v>
      </c>
      <c r="C28" s="1" t="str">
        <f t="shared" si="0"/>
        <v>次</v>
      </c>
      <c r="D28" s="1" t="str">
        <f t="shared" ref="D28:D30" si="4">"次"</f>
        <v>次</v>
      </c>
      <c r="E28" s="1" t="str">
        <f t="shared" si="2"/>
        <v>治疗费</v>
      </c>
    </row>
    <row r="29" spans="1:5">
      <c r="A29" s="1" t="str">
        <f>"腰部疾病推拿"</f>
        <v>腰部疾病推拿</v>
      </c>
      <c r="B29" s="1">
        <v>81</v>
      </c>
      <c r="C29" s="1" t="str">
        <f t="shared" si="0"/>
        <v>次</v>
      </c>
      <c r="D29" s="1" t="str">
        <f t="shared" si="4"/>
        <v>次</v>
      </c>
      <c r="E29" s="1" t="str">
        <f t="shared" si="2"/>
        <v>治疗费</v>
      </c>
    </row>
    <row r="30" spans="1:5">
      <c r="A30" s="1" t="str">
        <f>"髋骶部疾病推拿"</f>
        <v>髋骶部疾病推拿</v>
      </c>
      <c r="B30" s="1">
        <v>81</v>
      </c>
      <c r="C30" s="1" t="str">
        <f t="shared" si="0"/>
        <v>次</v>
      </c>
      <c r="D30" s="1" t="str">
        <f t="shared" si="4"/>
        <v>次</v>
      </c>
      <c r="E30" s="1" t="str">
        <f t="shared" si="2"/>
        <v>治疗费</v>
      </c>
    </row>
    <row r="31" spans="1:5">
      <c r="A31" s="1" t="str">
        <f>"四肢部位疾病推拿"</f>
        <v>四肢部位疾病推拿</v>
      </c>
      <c r="B31" s="1">
        <v>42</v>
      </c>
      <c r="C31" s="1" t="str">
        <f t="shared" si="0"/>
        <v>次</v>
      </c>
      <c r="D31" s="1" t="str">
        <f>"单肢"</f>
        <v>单肢</v>
      </c>
      <c r="E31" s="1" t="str">
        <f t="shared" si="2"/>
        <v>治疗费</v>
      </c>
    </row>
    <row r="32" spans="1:5">
      <c r="A32" s="1" t="str">
        <f>"脏腑疾病推拿"</f>
        <v>脏腑疾病推拿</v>
      </c>
      <c r="B32" s="1">
        <v>49</v>
      </c>
      <c r="C32" s="1" t="str">
        <f t="shared" si="0"/>
        <v>次</v>
      </c>
      <c r="D32" s="1" t="str">
        <f t="shared" ref="D32:D35" si="5">"次"</f>
        <v>次</v>
      </c>
      <c r="E32" s="1" t="str">
        <f t="shared" si="2"/>
        <v>治疗费</v>
      </c>
    </row>
    <row r="33" spans="1:5">
      <c r="A33" s="1" t="str">
        <f>"中枢神经系统疾病推拿"</f>
        <v>中枢神经系统疾病推拿</v>
      </c>
      <c r="B33" s="1">
        <v>55</v>
      </c>
      <c r="C33" s="1" t="str">
        <f t="shared" si="0"/>
        <v>次</v>
      </c>
      <c r="D33" s="1" t="str">
        <f t="shared" si="5"/>
        <v>次</v>
      </c>
      <c r="E33" s="1" t="str">
        <f t="shared" si="2"/>
        <v>治疗费</v>
      </c>
    </row>
    <row r="34" spans="1:5">
      <c r="A34" s="1" t="str">
        <f>"体检费"</f>
        <v>体检费</v>
      </c>
      <c r="B34" s="1">
        <v>15</v>
      </c>
      <c r="C34" s="1" t="str">
        <f>"项"</f>
        <v>项</v>
      </c>
      <c r="D34" s="1" t="str">
        <f>"每次"</f>
        <v>每次</v>
      </c>
      <c r="E34" s="1" t="str">
        <f>"体检费"</f>
        <v>体检费</v>
      </c>
    </row>
    <row r="35" spans="1:5">
      <c r="A35" s="1" t="str">
        <f>"体检"</f>
        <v>体检</v>
      </c>
      <c r="B35" s="1">
        <v>86</v>
      </c>
      <c r="C35" s="1" t="str">
        <f>"次"</f>
        <v>次</v>
      </c>
      <c r="D35" s="1" t="str">
        <f t="shared" si="5"/>
        <v>次</v>
      </c>
      <c r="E35" s="1" t="str">
        <f>"体检费"</f>
        <v>体检费</v>
      </c>
    </row>
    <row r="36" spans="1:5">
      <c r="A36" s="1" t="str">
        <f>"急诊观察床位费"</f>
        <v>急诊观察床位费</v>
      </c>
      <c r="B36" s="1">
        <v>15</v>
      </c>
      <c r="C36" s="1" t="str">
        <f t="shared" ref="C36:C38" si="6">"日"</f>
        <v>日</v>
      </c>
      <c r="D36" s="1" t="str">
        <f t="shared" ref="D36:D38" si="7">"日"</f>
        <v>日</v>
      </c>
      <c r="E36" s="1" t="str">
        <f>"床位费"</f>
        <v>床位费</v>
      </c>
    </row>
    <row r="37" spans="1:5">
      <c r="A37" s="1" t="str">
        <f>"中抢救"</f>
        <v>中抢救</v>
      </c>
      <c r="B37" s="1">
        <v>65</v>
      </c>
      <c r="C37" s="1" t="str">
        <f t="shared" si="6"/>
        <v>日</v>
      </c>
      <c r="D37" s="1" t="str">
        <f t="shared" si="7"/>
        <v>日</v>
      </c>
      <c r="E37" s="1" t="str">
        <f>"治疗费"</f>
        <v>治疗费</v>
      </c>
    </row>
    <row r="38" spans="1:5">
      <c r="A38" s="1" t="str">
        <f>"小抢救"</f>
        <v>小抢救</v>
      </c>
      <c r="B38" s="1">
        <v>39</v>
      </c>
      <c r="C38" s="1" t="str">
        <f t="shared" si="6"/>
        <v>日</v>
      </c>
      <c r="D38" s="1" t="str">
        <f t="shared" si="7"/>
        <v>日</v>
      </c>
      <c r="E38" s="1" t="str">
        <f>"治疗费"</f>
        <v>治疗费</v>
      </c>
    </row>
    <row r="39" spans="1:5">
      <c r="A39" s="1" t="str">
        <f>"氧气吸入"</f>
        <v>氧气吸入</v>
      </c>
      <c r="B39" s="1">
        <v>4</v>
      </c>
      <c r="C39" s="1" t="str">
        <f>"次"</f>
        <v>次</v>
      </c>
      <c r="D39" s="1" t="str">
        <f>"小时"</f>
        <v>小时</v>
      </c>
      <c r="E39" s="1" t="str">
        <f>"输氧费"</f>
        <v>输氧费</v>
      </c>
    </row>
    <row r="40" spans="1:5">
      <c r="A40" s="1" t="str">
        <f>"肌肉注射"</f>
        <v>肌肉注射</v>
      </c>
      <c r="B40" s="1">
        <v>4</v>
      </c>
      <c r="C40" s="1" t="str">
        <f t="shared" ref="C40:C51" si="8">"次"</f>
        <v>次</v>
      </c>
      <c r="D40" s="1" t="str">
        <f t="shared" ref="D40:D51" si="9">"次"</f>
        <v>次</v>
      </c>
      <c r="E40" s="1" t="str">
        <f t="shared" ref="E40:E43" si="10">"其他护理费"</f>
        <v>其他护理费</v>
      </c>
    </row>
    <row r="41" spans="1:5">
      <c r="A41" s="1" t="str">
        <f>"静脉注射"</f>
        <v>静脉注射</v>
      </c>
      <c r="B41" s="1">
        <v>5</v>
      </c>
      <c r="C41" s="1">
        <v>1</v>
      </c>
      <c r="D41" s="1" t="str">
        <f>"每次"</f>
        <v>每次</v>
      </c>
      <c r="E41" s="1" t="str">
        <f>"一般护理费"</f>
        <v>一般护理费</v>
      </c>
    </row>
    <row r="42" spans="1:5">
      <c r="A42" s="1" t="str">
        <f>"静脉输液"</f>
        <v>静脉输液</v>
      </c>
      <c r="B42" s="1">
        <v>8</v>
      </c>
      <c r="C42" s="1" t="str">
        <f t="shared" si="8"/>
        <v>次</v>
      </c>
      <c r="D42" s="1" t="str">
        <f t="shared" si="9"/>
        <v>次</v>
      </c>
      <c r="E42" s="1" t="str">
        <f t="shared" si="10"/>
        <v>其他护理费</v>
      </c>
    </row>
    <row r="43" spans="1:5">
      <c r="A43" s="1" t="str">
        <f>"静脉输液每瓶加收"</f>
        <v>静脉输液每瓶加收</v>
      </c>
      <c r="B43" s="1">
        <v>1.3</v>
      </c>
      <c r="C43" s="1" t="str">
        <f>"-"</f>
        <v>-</v>
      </c>
      <c r="D43" s="1" t="str">
        <f>"瓶"</f>
        <v>瓶</v>
      </c>
      <c r="E43" s="1" t="str">
        <f t="shared" si="10"/>
        <v>其他护理费</v>
      </c>
    </row>
    <row r="44" spans="1:5">
      <c r="A44" s="1" t="str">
        <f>"小儿静脉输液"</f>
        <v>小儿静脉输液</v>
      </c>
      <c r="B44" s="1">
        <v>11</v>
      </c>
      <c r="C44" s="1" t="str">
        <f>"-"</f>
        <v>-</v>
      </c>
      <c r="D44" s="1" t="str">
        <f t="shared" si="9"/>
        <v>次</v>
      </c>
      <c r="E44" s="1" t="str">
        <f t="shared" ref="E44:E48" si="11">"治疗费"</f>
        <v>治疗费</v>
      </c>
    </row>
    <row r="45" spans="1:5">
      <c r="A45" s="1" t="str">
        <f>"小儿静脉输液加收"</f>
        <v>小儿静脉输液加收</v>
      </c>
      <c r="B45" s="1">
        <v>1.3</v>
      </c>
      <c r="C45" s="1" t="str">
        <f t="shared" si="8"/>
        <v>次</v>
      </c>
      <c r="D45" s="1" t="str">
        <f t="shared" si="9"/>
        <v>次</v>
      </c>
      <c r="E45" s="1" t="str">
        <f t="shared" si="11"/>
        <v>治疗费</v>
      </c>
    </row>
    <row r="46" spans="1:5">
      <c r="A46" s="1" t="str">
        <f>"大清创缝合"</f>
        <v>大清创缝合</v>
      </c>
      <c r="B46" s="1">
        <v>170</v>
      </c>
      <c r="C46" s="1" t="str">
        <f t="shared" si="8"/>
        <v>次</v>
      </c>
      <c r="D46" s="1" t="str">
        <f t="shared" si="9"/>
        <v>次</v>
      </c>
      <c r="E46" s="1" t="str">
        <f t="shared" ref="E46:E51" si="12">"手术费"</f>
        <v>手术费</v>
      </c>
    </row>
    <row r="47" spans="1:5">
      <c r="A47" s="1" t="str">
        <f>"大清创"</f>
        <v>大清创</v>
      </c>
      <c r="B47" s="1">
        <v>70</v>
      </c>
      <c r="C47" s="1" t="str">
        <f t="shared" si="8"/>
        <v>次</v>
      </c>
      <c r="D47" s="1" t="str">
        <f t="shared" si="9"/>
        <v>次</v>
      </c>
      <c r="E47" s="1" t="str">
        <f t="shared" si="11"/>
        <v>治疗费</v>
      </c>
    </row>
    <row r="48" spans="1:5">
      <c r="A48" s="1" t="str">
        <f>"中清创缝合"</f>
        <v>中清创缝合</v>
      </c>
      <c r="B48" s="1">
        <v>85</v>
      </c>
      <c r="C48" s="1" t="str">
        <f t="shared" si="8"/>
        <v>次</v>
      </c>
      <c r="D48" s="1" t="str">
        <f t="shared" si="9"/>
        <v>次</v>
      </c>
      <c r="E48" s="1" t="str">
        <f t="shared" si="11"/>
        <v>治疗费</v>
      </c>
    </row>
    <row r="49" spans="1:5">
      <c r="A49" s="1" t="str">
        <f>"中清创"</f>
        <v>中清创</v>
      </c>
      <c r="B49" s="1">
        <v>60</v>
      </c>
      <c r="C49" s="1" t="str">
        <f t="shared" si="8"/>
        <v>次</v>
      </c>
      <c r="D49" s="1" t="str">
        <f t="shared" si="9"/>
        <v>次</v>
      </c>
      <c r="E49" s="1" t="str">
        <f t="shared" si="12"/>
        <v>手术费</v>
      </c>
    </row>
    <row r="50" spans="1:5">
      <c r="A50" s="1" t="str">
        <f>"小清创缝合"</f>
        <v>小清创缝合</v>
      </c>
      <c r="B50" s="1">
        <v>65</v>
      </c>
      <c r="C50" s="1" t="str">
        <f t="shared" si="8"/>
        <v>次</v>
      </c>
      <c r="D50" s="1" t="str">
        <f t="shared" si="9"/>
        <v>次</v>
      </c>
      <c r="E50" s="1" t="str">
        <f t="shared" si="12"/>
        <v>手术费</v>
      </c>
    </row>
    <row r="51" spans="1:5">
      <c r="A51" s="1" t="str">
        <f>"小清创"</f>
        <v>小清创</v>
      </c>
      <c r="B51" s="1">
        <v>35</v>
      </c>
      <c r="C51" s="1" t="str">
        <f t="shared" si="8"/>
        <v>次</v>
      </c>
      <c r="D51" s="1" t="str">
        <f t="shared" si="9"/>
        <v>次</v>
      </c>
      <c r="E51" s="1" t="str">
        <f t="shared" si="12"/>
        <v>手术费</v>
      </c>
    </row>
    <row r="52" spans="1:5">
      <c r="A52" s="1" t="str">
        <f>"特大换药"</f>
        <v>特大换药</v>
      </c>
      <c r="B52" s="1">
        <v>39</v>
      </c>
      <c r="C52" s="1" t="str">
        <f t="shared" ref="C52:C66" si="13">"次"</f>
        <v>次</v>
      </c>
      <c r="D52" s="1" t="str">
        <f t="shared" ref="D52:D69" si="14">"次"</f>
        <v>次</v>
      </c>
      <c r="E52" s="1" t="str">
        <f t="shared" ref="E52:E58" si="15">"治疗费"</f>
        <v>治疗费</v>
      </c>
    </row>
    <row r="53" spans="1:5">
      <c r="A53" s="1" t="str">
        <f>"大换药"</f>
        <v>大换药</v>
      </c>
      <c r="B53" s="1">
        <v>26</v>
      </c>
      <c r="C53" s="1" t="str">
        <f t="shared" si="13"/>
        <v>次</v>
      </c>
      <c r="D53" s="1" t="str">
        <f t="shared" si="14"/>
        <v>次</v>
      </c>
      <c r="E53" s="1" t="str">
        <f t="shared" si="15"/>
        <v>治疗费</v>
      </c>
    </row>
    <row r="54" spans="1:5">
      <c r="A54" s="1" t="str">
        <f>"中换药"</f>
        <v>中换药</v>
      </c>
      <c r="B54" s="1">
        <v>13</v>
      </c>
      <c r="C54" s="1" t="str">
        <f t="shared" si="13"/>
        <v>次</v>
      </c>
      <c r="D54" s="1" t="str">
        <f t="shared" si="14"/>
        <v>次</v>
      </c>
      <c r="E54" s="1" t="str">
        <f t="shared" si="15"/>
        <v>治疗费</v>
      </c>
    </row>
    <row r="55" spans="1:5">
      <c r="A55" s="1" t="str">
        <f>"小换药"</f>
        <v>小换药</v>
      </c>
      <c r="B55" s="1">
        <v>6.5</v>
      </c>
      <c r="C55" s="1" t="str">
        <f t="shared" si="13"/>
        <v>次</v>
      </c>
      <c r="D55" s="1" t="str">
        <f t="shared" si="14"/>
        <v>次</v>
      </c>
      <c r="E55" s="1" t="str">
        <f t="shared" si="15"/>
        <v>治疗费</v>
      </c>
    </row>
    <row r="56" spans="1:5">
      <c r="A56" s="1" t="str">
        <f>"雾化吸入"</f>
        <v>雾化吸入</v>
      </c>
      <c r="B56" s="1">
        <v>6.5</v>
      </c>
      <c r="C56" s="1" t="str">
        <f t="shared" si="13"/>
        <v>次</v>
      </c>
      <c r="D56" s="1" t="str">
        <f t="shared" si="14"/>
        <v>次</v>
      </c>
      <c r="E56" s="1" t="str">
        <f t="shared" si="15"/>
        <v>治疗费</v>
      </c>
    </row>
    <row r="57" spans="1:5">
      <c r="A57" s="1" t="str">
        <f>"清洁灌肠"</f>
        <v>清洁灌肠</v>
      </c>
      <c r="B57" s="1">
        <v>26</v>
      </c>
      <c r="C57" s="1" t="str">
        <f t="shared" si="13"/>
        <v>次</v>
      </c>
      <c r="D57" s="1" t="str">
        <f t="shared" si="14"/>
        <v>次</v>
      </c>
      <c r="E57" s="1" t="str">
        <f t="shared" si="15"/>
        <v>治疗费</v>
      </c>
    </row>
    <row r="58" spans="1:5">
      <c r="A58" s="1" t="str">
        <f>"导尿"</f>
        <v>导尿</v>
      </c>
      <c r="B58" s="1">
        <v>5.2</v>
      </c>
      <c r="C58" s="1" t="str">
        <f t="shared" si="13"/>
        <v>次</v>
      </c>
      <c r="D58" s="1" t="str">
        <f t="shared" si="14"/>
        <v>次</v>
      </c>
      <c r="E58" s="1" t="str">
        <f t="shared" si="15"/>
        <v>治疗费</v>
      </c>
    </row>
    <row r="59" spans="1:5">
      <c r="A59" s="1" t="str">
        <f>"家庭巡诊"</f>
        <v>家庭巡诊</v>
      </c>
      <c r="B59" s="1">
        <v>20</v>
      </c>
      <c r="C59" s="1" t="str">
        <f t="shared" si="13"/>
        <v>次</v>
      </c>
      <c r="D59" s="1" t="str">
        <f t="shared" si="14"/>
        <v>次</v>
      </c>
      <c r="E59" s="1" t="str">
        <f t="shared" ref="E59:E66" si="16">"服务收入"</f>
        <v>服务收入</v>
      </c>
    </row>
    <row r="60" spans="1:5">
      <c r="A60" s="1" t="str">
        <f>"围产保健访视"</f>
        <v>围产保健访视</v>
      </c>
      <c r="B60" s="1">
        <v>10</v>
      </c>
      <c r="C60" s="1" t="str">
        <f t="shared" si="13"/>
        <v>次</v>
      </c>
      <c r="D60" s="1" t="str">
        <f t="shared" si="14"/>
        <v>次</v>
      </c>
      <c r="E60" s="1" t="str">
        <f t="shared" si="16"/>
        <v>服务收入</v>
      </c>
    </row>
    <row r="61" spans="1:5">
      <c r="A61" s="1" t="str">
        <f>"传染病访视"</f>
        <v>传染病访视</v>
      </c>
      <c r="B61" s="1">
        <v>10</v>
      </c>
      <c r="C61" s="1" t="str">
        <f t="shared" si="13"/>
        <v>次</v>
      </c>
      <c r="D61" s="1" t="str">
        <f t="shared" si="14"/>
        <v>次</v>
      </c>
      <c r="E61" s="1" t="str">
        <f t="shared" si="16"/>
        <v>服务收入</v>
      </c>
    </row>
    <row r="62" spans="1:5">
      <c r="A62" s="1" t="str">
        <f>"家庭病床建床费"</f>
        <v>家庭病床建床费</v>
      </c>
      <c r="B62" s="1">
        <v>50</v>
      </c>
      <c r="C62" s="1" t="str">
        <f t="shared" si="13"/>
        <v>次</v>
      </c>
      <c r="D62" s="1" t="str">
        <f t="shared" si="14"/>
        <v>次</v>
      </c>
      <c r="E62" s="1" t="str">
        <f t="shared" si="16"/>
        <v>服务收入</v>
      </c>
    </row>
    <row r="63" spans="1:5">
      <c r="A63" s="1" t="str">
        <f>"家庭病床巡诊费"</f>
        <v>家庭病床巡诊费</v>
      </c>
      <c r="B63" s="1">
        <v>30</v>
      </c>
      <c r="C63" s="1" t="str">
        <f t="shared" si="13"/>
        <v>次</v>
      </c>
      <c r="D63" s="1" t="str">
        <f t="shared" si="14"/>
        <v>次</v>
      </c>
      <c r="E63" s="1" t="str">
        <f t="shared" si="16"/>
        <v>服务收入</v>
      </c>
    </row>
    <row r="64" spans="1:5">
      <c r="A64" s="1" t="str">
        <f>"出诊费"</f>
        <v>出诊费</v>
      </c>
      <c r="B64" s="1">
        <v>40</v>
      </c>
      <c r="C64" s="1" t="str">
        <f t="shared" si="13"/>
        <v>次</v>
      </c>
      <c r="D64" s="1" t="str">
        <f t="shared" si="14"/>
        <v>次</v>
      </c>
      <c r="E64" s="1" t="str">
        <f t="shared" si="16"/>
        <v>服务收入</v>
      </c>
    </row>
    <row r="65" spans="1:5">
      <c r="A65" s="1" t="str">
        <f>"建立健康档案"</f>
        <v>建立健康档案</v>
      </c>
      <c r="B65" s="1">
        <v>2</v>
      </c>
      <c r="C65" s="1" t="str">
        <f t="shared" si="13"/>
        <v>次</v>
      </c>
      <c r="D65" s="1" t="str">
        <f t="shared" si="14"/>
        <v>次</v>
      </c>
      <c r="E65" s="1" t="str">
        <f t="shared" si="16"/>
        <v>服务收入</v>
      </c>
    </row>
    <row r="66" spans="1:5">
      <c r="A66" s="1" t="str">
        <f>"疾病健康教育"</f>
        <v>疾病健康教育</v>
      </c>
      <c r="B66" s="1">
        <v>2</v>
      </c>
      <c r="C66" s="1" t="str">
        <f t="shared" si="13"/>
        <v>次</v>
      </c>
      <c r="D66" s="1" t="str">
        <f t="shared" si="14"/>
        <v>次</v>
      </c>
      <c r="E66" s="1" t="str">
        <f t="shared" si="16"/>
        <v>服务收入</v>
      </c>
    </row>
    <row r="67" spans="1:5">
      <c r="A67" s="1" t="str">
        <f>"一般诊疗费"</f>
        <v>一般诊疗费</v>
      </c>
      <c r="B67" s="1">
        <v>10</v>
      </c>
      <c r="C67" s="1">
        <v>1</v>
      </c>
      <c r="D67" s="1" t="str">
        <f t="shared" si="14"/>
        <v>次</v>
      </c>
      <c r="E67" s="1" t="str">
        <f>"一般诊疗费"</f>
        <v>一般诊疗费</v>
      </c>
    </row>
    <row r="68" spans="1:5">
      <c r="A68" s="1" t="str">
        <f>"挂号费"</f>
        <v>挂号费</v>
      </c>
      <c r="B68" s="1" t="str">
        <f>"0"</f>
        <v>0</v>
      </c>
      <c r="C68" s="1" t="str">
        <f t="shared" ref="C68:C70" si="17">"次"</f>
        <v>次</v>
      </c>
      <c r="D68" s="1" t="str">
        <f t="shared" si="14"/>
        <v>次</v>
      </c>
      <c r="E68" s="1" t="str">
        <f t="shared" ref="E68:E70" si="18">"诊查费"</f>
        <v>诊查费</v>
      </c>
    </row>
    <row r="69" spans="1:5">
      <c r="A69" s="1" t="str">
        <f>"主任医师一般诊疗费"</f>
        <v>主任医师一般诊疗费</v>
      </c>
      <c r="B69" s="1">
        <v>23</v>
      </c>
      <c r="C69" s="1" t="str">
        <f t="shared" si="17"/>
        <v>次</v>
      </c>
      <c r="D69" s="1" t="str">
        <f t="shared" si="14"/>
        <v>次</v>
      </c>
      <c r="E69" s="1" t="str">
        <f t="shared" si="18"/>
        <v>诊查费</v>
      </c>
    </row>
    <row r="70" spans="1:5">
      <c r="A70" s="1" t="str">
        <f>"副主任医师一般诊疗费"</f>
        <v>副主任医师一般诊疗费</v>
      </c>
      <c r="B70" s="1">
        <v>14</v>
      </c>
      <c r="C70" s="1" t="str">
        <f t="shared" si="17"/>
        <v>次</v>
      </c>
      <c r="D70" s="1" t="str">
        <f>"每次"</f>
        <v>每次</v>
      </c>
      <c r="E70" s="1" t="str">
        <f t="shared" si="18"/>
        <v>诊查费</v>
      </c>
    </row>
    <row r="71" spans="1:5">
      <c r="A71" s="1" t="str">
        <f>"牙片"</f>
        <v>牙片</v>
      </c>
      <c r="B71" s="1">
        <v>3</v>
      </c>
      <c r="C71" s="1" t="str">
        <f>"片数"</f>
        <v>片数</v>
      </c>
      <c r="D71" s="1" t="str">
        <f>"片数"</f>
        <v>片数</v>
      </c>
      <c r="E71" s="1" t="str">
        <f>"放射费"</f>
        <v>放射费</v>
      </c>
    </row>
    <row r="72" spans="1:5">
      <c r="A72" s="1" t="str">
        <f>"数字化摄影(DR)"</f>
        <v>数字化摄影(DR)</v>
      </c>
      <c r="B72" s="1">
        <v>60</v>
      </c>
      <c r="C72" s="1" t="str">
        <f>"次"</f>
        <v>次</v>
      </c>
      <c r="D72" s="1" t="str">
        <f>"次"</f>
        <v>次</v>
      </c>
      <c r="E72" s="1" t="str">
        <f>"放射费"</f>
        <v>放射费</v>
      </c>
    </row>
    <row r="73" spans="1:5">
      <c r="A73" s="1" t="str">
        <f>"数字化摄影(DR)从第二次曝光开始加收"</f>
        <v>数字化摄影(DR)从第二次曝光开始加收</v>
      </c>
      <c r="B73" s="1">
        <v>30</v>
      </c>
      <c r="C73" s="1" t="str">
        <f>"次"</f>
        <v>次</v>
      </c>
      <c r="D73" s="1" t="str">
        <f>"次"</f>
        <v>次</v>
      </c>
      <c r="E73" s="1" t="str">
        <f>"放射费"</f>
        <v>放射费</v>
      </c>
    </row>
    <row r="74" spans="1:5">
      <c r="A74" s="1" t="str">
        <f>"彩色多普勒超声常规检查"</f>
        <v>彩色多普勒超声常规检查</v>
      </c>
      <c r="B74" s="1">
        <v>50</v>
      </c>
      <c r="C74" s="1">
        <v>1</v>
      </c>
      <c r="D74" s="1" t="str">
        <f>"部位"</f>
        <v>部位</v>
      </c>
      <c r="E74" s="1" t="str">
        <f t="shared" ref="E74:E78" si="19">"彩超费"</f>
        <v>彩超费</v>
      </c>
    </row>
    <row r="75" spans="1:5">
      <c r="A75" s="1" t="str">
        <f>"浅表器官彩色多普勒超声检查"</f>
        <v>浅表器官彩色多普勒超声检查</v>
      </c>
      <c r="B75" s="1">
        <v>50</v>
      </c>
      <c r="C75" s="1" t="str">
        <f>"项"</f>
        <v>项</v>
      </c>
      <c r="D75" s="1" t="str">
        <f>"每个 部位"</f>
        <v>每个 部位</v>
      </c>
      <c r="E75" s="1" t="str">
        <f t="shared" si="19"/>
        <v>彩超费</v>
      </c>
    </row>
    <row r="76" spans="1:5">
      <c r="A76" s="1" t="str">
        <f>"颈部血管彩色多普勒超声"</f>
        <v>颈部血管彩色多普勒超声</v>
      </c>
      <c r="B76" s="1">
        <v>35</v>
      </c>
      <c r="C76" s="1" t="str">
        <f t="shared" ref="C76:C82" si="20">"次"</f>
        <v>次</v>
      </c>
      <c r="D76" s="1" t="str">
        <f>"每根"</f>
        <v>每根</v>
      </c>
      <c r="E76" s="1" t="str">
        <f t="shared" si="19"/>
        <v>彩超费</v>
      </c>
    </row>
    <row r="77" spans="1:5">
      <c r="A77" s="1" t="str">
        <f>"四肢血管彩色多普勒超声"</f>
        <v>四肢血管彩色多普勒超声</v>
      </c>
      <c r="B77" s="1">
        <v>35</v>
      </c>
      <c r="C77" s="1" t="str">
        <f>"项"</f>
        <v>项</v>
      </c>
      <c r="D77" s="1" t="str">
        <f>"每肢"</f>
        <v>每肢</v>
      </c>
      <c r="E77" s="1" t="str">
        <f t="shared" si="19"/>
        <v>彩超费</v>
      </c>
    </row>
    <row r="78" spans="1:5">
      <c r="A78" s="1" t="str">
        <f>"多普勒血流图"</f>
        <v>多普勒血流图</v>
      </c>
      <c r="B78" s="1">
        <v>30</v>
      </c>
      <c r="C78" s="1" t="str">
        <f>"单肢或部位"</f>
        <v>单肢或部位</v>
      </c>
      <c r="D78" s="1" t="str">
        <f>"每部位"</f>
        <v>每部位</v>
      </c>
      <c r="E78" s="1" t="str">
        <f t="shared" si="19"/>
        <v>彩超费</v>
      </c>
    </row>
    <row r="79" spans="1:5">
      <c r="A79" s="1" t="str">
        <f>"计算机图文报告"</f>
        <v>计算机图文报告</v>
      </c>
      <c r="B79" s="1">
        <v>15</v>
      </c>
      <c r="C79" s="1" t="str">
        <f t="shared" si="20"/>
        <v>次</v>
      </c>
      <c r="D79" s="1" t="str">
        <f t="shared" ref="D79:D82" si="21">"次"</f>
        <v>次</v>
      </c>
      <c r="E79" s="1" t="str">
        <f t="shared" ref="E79:E83" si="22">"检查费"</f>
        <v>检查费</v>
      </c>
    </row>
    <row r="80" spans="1:5">
      <c r="A80" s="1" t="str">
        <f>"彩色胶片报告"</f>
        <v>彩色胶片报告</v>
      </c>
      <c r="B80" s="1">
        <v>20</v>
      </c>
      <c r="C80" s="1">
        <v>1</v>
      </c>
      <c r="D80" s="1" t="str">
        <f>"片"</f>
        <v>片</v>
      </c>
      <c r="E80" s="1" t="str">
        <f t="shared" si="22"/>
        <v>检查费</v>
      </c>
    </row>
    <row r="81" spans="1:5">
      <c r="A81" s="1" t="str">
        <f>"骨密度测定"</f>
        <v>骨密度测定</v>
      </c>
      <c r="B81" s="1">
        <v>40</v>
      </c>
      <c r="C81" s="1" t="str">
        <f t="shared" si="20"/>
        <v>次</v>
      </c>
      <c r="D81" s="1" t="str">
        <f t="shared" si="21"/>
        <v>次</v>
      </c>
      <c r="E81" s="1" t="str">
        <f t="shared" si="22"/>
        <v>检查费</v>
      </c>
    </row>
    <row r="82" spans="1:5">
      <c r="A82" s="1" t="str">
        <f>"骨密度测定（儿保）"</f>
        <v>骨密度测定（儿保）</v>
      </c>
      <c r="B82" s="1">
        <v>24</v>
      </c>
      <c r="C82" s="1" t="str">
        <f t="shared" si="20"/>
        <v>次</v>
      </c>
      <c r="D82" s="1" t="str">
        <f t="shared" si="21"/>
        <v>次</v>
      </c>
      <c r="E82" s="1" t="str">
        <f t="shared" si="22"/>
        <v>检查费</v>
      </c>
    </row>
    <row r="83" spans="1:5">
      <c r="A83" s="1" t="str">
        <f>"骨密度测定（全科）"</f>
        <v>骨密度测定（全科）</v>
      </c>
      <c r="B83" s="1">
        <v>5</v>
      </c>
      <c r="C83" s="1" t="str">
        <f t="shared" ref="C83:C87" si="23">"项"</f>
        <v>项</v>
      </c>
      <c r="D83" s="1" t="str">
        <f t="shared" ref="D83:D87" si="24">"项"</f>
        <v>项</v>
      </c>
      <c r="E83" s="1" t="str">
        <f t="shared" si="22"/>
        <v>检查费</v>
      </c>
    </row>
    <row r="84" spans="1:5">
      <c r="A84" s="1" t="str">
        <f>"血红蛋白测定(Hb)"</f>
        <v>血红蛋白测定(Hb)</v>
      </c>
      <c r="B84" s="1">
        <v>1</v>
      </c>
      <c r="C84" s="1" t="str">
        <f t="shared" si="23"/>
        <v>项</v>
      </c>
      <c r="D84" s="1" t="str">
        <f t="shared" si="24"/>
        <v>项</v>
      </c>
      <c r="E84" s="1" t="str">
        <f t="shared" ref="E84:E147" si="25">"检验费"</f>
        <v>检验费</v>
      </c>
    </row>
    <row r="85" spans="1:5">
      <c r="A85" s="1" t="str">
        <f>"红细胞计数(RBC)"</f>
        <v>红细胞计数(RBC)</v>
      </c>
      <c r="B85" s="1">
        <v>1</v>
      </c>
      <c r="C85" s="1" t="str">
        <f t="shared" si="23"/>
        <v>项</v>
      </c>
      <c r="D85" s="1" t="str">
        <f t="shared" si="24"/>
        <v>项</v>
      </c>
      <c r="E85" s="1" t="str">
        <f t="shared" si="25"/>
        <v>检验费</v>
      </c>
    </row>
    <row r="86" spans="1:5">
      <c r="A86" s="1" t="str">
        <f>"红细胞比积测定(HCT)"</f>
        <v>红细胞比积测定(HCT)</v>
      </c>
      <c r="B86" s="1">
        <v>1</v>
      </c>
      <c r="C86" s="1" t="str">
        <f t="shared" si="23"/>
        <v>项</v>
      </c>
      <c r="D86" s="1" t="str">
        <f t="shared" si="24"/>
        <v>项</v>
      </c>
      <c r="E86" s="1" t="str">
        <f t="shared" si="25"/>
        <v>检验费</v>
      </c>
    </row>
    <row r="87" spans="1:5">
      <c r="A87" s="1" t="str">
        <f>"红细胞沉降率测定(ESR)(手工法)"</f>
        <v>红细胞沉降率测定(ESR)(手工法)</v>
      </c>
      <c r="B87" s="1">
        <v>5</v>
      </c>
      <c r="C87" s="1" t="str">
        <f t="shared" si="23"/>
        <v>项</v>
      </c>
      <c r="D87" s="1" t="str">
        <f t="shared" si="24"/>
        <v>项</v>
      </c>
      <c r="E87" s="1" t="str">
        <f t="shared" si="25"/>
        <v>检验费</v>
      </c>
    </row>
    <row r="88" spans="1:5">
      <c r="A88" s="1" t="str">
        <f>"血细胞分析（三分类）"</f>
        <v>血细胞分析（三分类）</v>
      </c>
      <c r="B88" s="1">
        <v>10</v>
      </c>
      <c r="C88" s="1" t="str">
        <f t="shared" ref="C88:C92" si="26">"次"</f>
        <v>次</v>
      </c>
      <c r="D88" s="1" t="str">
        <f t="shared" ref="D88:D93" si="27">"次"</f>
        <v>次</v>
      </c>
      <c r="E88" s="1" t="str">
        <f t="shared" si="25"/>
        <v>检验费</v>
      </c>
    </row>
    <row r="89" spans="1:5">
      <c r="A89" s="1" t="str">
        <f>"血细胞分析（五分类）"</f>
        <v>血细胞分析（五分类）</v>
      </c>
      <c r="B89" s="1">
        <v>18</v>
      </c>
      <c r="C89" s="1" t="str">
        <f t="shared" si="26"/>
        <v>次</v>
      </c>
      <c r="D89" s="1" t="str">
        <f t="shared" si="27"/>
        <v>次</v>
      </c>
      <c r="E89" s="1" t="str">
        <f t="shared" si="25"/>
        <v>检验费</v>
      </c>
    </row>
    <row r="90" spans="1:5">
      <c r="A90" s="1" t="str">
        <f>"尿妊娠试验"</f>
        <v>尿妊娠试验</v>
      </c>
      <c r="B90" s="1">
        <v>7</v>
      </c>
      <c r="C90" s="1" t="str">
        <f t="shared" ref="C90:C94" si="28">"项"</f>
        <v>项</v>
      </c>
      <c r="D90" s="1" t="str">
        <f t="shared" ref="D90:D94" si="29">"项"</f>
        <v>项</v>
      </c>
      <c r="E90" s="1" t="str">
        <f t="shared" si="25"/>
        <v>检验费</v>
      </c>
    </row>
    <row r="91" spans="1:5">
      <c r="A91" s="1" t="str">
        <f>"尿沉渣定量"</f>
        <v>尿沉渣定量</v>
      </c>
      <c r="B91" s="1">
        <v>20</v>
      </c>
      <c r="C91" s="1" t="str">
        <f t="shared" si="28"/>
        <v>项</v>
      </c>
      <c r="D91" s="1" t="str">
        <f t="shared" si="29"/>
        <v>项</v>
      </c>
      <c r="E91" s="1" t="str">
        <f t="shared" si="25"/>
        <v>检验费</v>
      </c>
    </row>
    <row r="92" spans="1:5">
      <c r="A92" s="1" t="str">
        <f>"尿常规化学检测"</f>
        <v>尿常规化学检测</v>
      </c>
      <c r="B92" s="1">
        <v>4.5</v>
      </c>
      <c r="C92" s="1" t="str">
        <f t="shared" si="26"/>
        <v>次</v>
      </c>
      <c r="D92" s="1" t="str">
        <f t="shared" si="27"/>
        <v>次</v>
      </c>
      <c r="E92" s="1" t="str">
        <f t="shared" si="25"/>
        <v>检验费</v>
      </c>
    </row>
    <row r="93" spans="1:5">
      <c r="A93" s="1" t="str">
        <f>"尿液分析(使用抗维生素C试剂条加收)"</f>
        <v>尿液分析(使用抗维生素C试剂条加收)</v>
      </c>
      <c r="B93" s="1">
        <v>2</v>
      </c>
      <c r="C93" s="1" t="str">
        <f>"-"</f>
        <v>-</v>
      </c>
      <c r="D93" s="1" t="str">
        <f t="shared" si="27"/>
        <v>次</v>
      </c>
      <c r="E93" s="1" t="str">
        <f t="shared" si="25"/>
        <v>检验费</v>
      </c>
    </row>
    <row r="94" spans="1:5">
      <c r="A94" s="1" t="str">
        <f>"尿碘快速测定"</f>
        <v>尿碘快速测定</v>
      </c>
      <c r="B94" s="1">
        <v>25</v>
      </c>
      <c r="C94" s="1" t="str">
        <f t="shared" si="28"/>
        <v>项</v>
      </c>
      <c r="D94" s="1" t="str">
        <f t="shared" si="29"/>
        <v>项</v>
      </c>
      <c r="E94" s="1" t="str">
        <f t="shared" si="25"/>
        <v>检验费</v>
      </c>
    </row>
    <row r="95" spans="1:5">
      <c r="A95" s="1" t="str">
        <f>"粪便常规"</f>
        <v>粪便常规</v>
      </c>
      <c r="B95" s="1">
        <v>5</v>
      </c>
      <c r="C95" s="1" t="str">
        <f>"次"</f>
        <v>次</v>
      </c>
      <c r="D95" s="1" t="str">
        <f>"次"</f>
        <v>次</v>
      </c>
      <c r="E95" s="1" t="str">
        <f t="shared" si="25"/>
        <v>检验费</v>
      </c>
    </row>
    <row r="96" spans="1:5">
      <c r="A96" s="1" t="str">
        <f>"粪便隐血试验(OB)"</f>
        <v>粪便隐血试验(OB)</v>
      </c>
      <c r="B96" s="1">
        <v>12</v>
      </c>
      <c r="C96" s="1" t="str">
        <f t="shared" ref="C96:C107" si="30">"项"</f>
        <v>项</v>
      </c>
      <c r="D96" s="1" t="str">
        <f t="shared" ref="D96:D107" si="31">"项"</f>
        <v>项</v>
      </c>
      <c r="E96" s="1" t="str">
        <f t="shared" si="25"/>
        <v>检验费</v>
      </c>
    </row>
    <row r="97" spans="1:5">
      <c r="A97" s="1" t="str">
        <f>"阴道分泌物检查"</f>
        <v>阴道分泌物检查</v>
      </c>
      <c r="B97" s="1">
        <v>7</v>
      </c>
      <c r="C97" s="1" t="str">
        <f>"次"</f>
        <v>次</v>
      </c>
      <c r="D97" s="1" t="str">
        <f>"次"</f>
        <v>次</v>
      </c>
      <c r="E97" s="1" t="str">
        <f t="shared" si="25"/>
        <v>检验费</v>
      </c>
    </row>
    <row r="98" spans="1:5">
      <c r="A98" s="1" t="str">
        <f>"细菌性阴道炎检查（白细胞酯梅）"</f>
        <v>细菌性阴道炎检查（白细胞酯梅）</v>
      </c>
      <c r="B98" s="1">
        <v>12</v>
      </c>
      <c r="C98" s="1" t="str">
        <f t="shared" si="30"/>
        <v>项</v>
      </c>
      <c r="D98" s="1" t="str">
        <f t="shared" si="31"/>
        <v>项</v>
      </c>
      <c r="E98" s="1" t="str">
        <f t="shared" si="25"/>
        <v>检验费</v>
      </c>
    </row>
    <row r="99" spans="1:5">
      <c r="A99" s="1" t="str">
        <f>"细菌性阴道炎检查（过氧化氢浓度）"</f>
        <v>细菌性阴道炎检查（过氧化氢浓度）</v>
      </c>
      <c r="B99" s="1">
        <v>12</v>
      </c>
      <c r="C99" s="1" t="str">
        <f t="shared" si="30"/>
        <v>项</v>
      </c>
      <c r="D99" s="1" t="str">
        <f t="shared" si="31"/>
        <v>项</v>
      </c>
      <c r="E99" s="1" t="str">
        <f t="shared" si="25"/>
        <v>检验费</v>
      </c>
    </row>
    <row r="100" spans="1:5">
      <c r="A100" s="1" t="str">
        <f>"细菌性阴道炎检查（葡萄糖酸苷酶）"</f>
        <v>细菌性阴道炎检查（葡萄糖酸苷酶）</v>
      </c>
      <c r="B100" s="1">
        <v>12</v>
      </c>
      <c r="C100" s="1" t="str">
        <f t="shared" si="30"/>
        <v>项</v>
      </c>
      <c r="D100" s="1" t="str">
        <f t="shared" si="31"/>
        <v>项</v>
      </c>
      <c r="E100" s="1" t="str">
        <f t="shared" si="25"/>
        <v>检验费</v>
      </c>
    </row>
    <row r="101" spans="1:5">
      <c r="A101" s="1" t="str">
        <f>"细菌性阴道炎检查(唾液酸苷酶）"</f>
        <v>细菌性阴道炎检查(唾液酸苷酶）</v>
      </c>
      <c r="B101" s="1">
        <v>12</v>
      </c>
      <c r="C101" s="1" t="str">
        <f t="shared" si="30"/>
        <v>项</v>
      </c>
      <c r="D101" s="1" t="str">
        <f t="shared" si="31"/>
        <v>项</v>
      </c>
      <c r="E101" s="1" t="str">
        <f t="shared" si="25"/>
        <v>检验费</v>
      </c>
    </row>
    <row r="102" spans="1:5">
      <c r="A102" s="1" t="str">
        <f>"细菌性阴道炎检查（乙酰氨基葡萄糖）"</f>
        <v>细菌性阴道炎检查（乙酰氨基葡萄糖）</v>
      </c>
      <c r="B102" s="1">
        <v>12</v>
      </c>
      <c r="C102" s="1" t="str">
        <f t="shared" si="30"/>
        <v>项</v>
      </c>
      <c r="D102" s="1" t="str">
        <f t="shared" si="31"/>
        <v>项</v>
      </c>
      <c r="E102" s="1" t="str">
        <f t="shared" si="25"/>
        <v>检验费</v>
      </c>
    </row>
    <row r="103" spans="1:5">
      <c r="A103" s="1" t="str">
        <f>"血浆凝血酶原时间测定(PT)"</f>
        <v>血浆凝血酶原时间测定(PT)</v>
      </c>
      <c r="B103" s="1">
        <v>15</v>
      </c>
      <c r="C103" s="1" t="str">
        <f t="shared" si="30"/>
        <v>项</v>
      </c>
      <c r="D103" s="1" t="str">
        <f t="shared" si="31"/>
        <v>项</v>
      </c>
      <c r="E103" s="1" t="str">
        <f t="shared" si="25"/>
        <v>检验费</v>
      </c>
    </row>
    <row r="104" spans="1:5">
      <c r="A104" s="1" t="str">
        <f>"活化部分凝血活酶时间测定(APTT)"</f>
        <v>活化部分凝血活酶时间测定(APTT)</v>
      </c>
      <c r="B104" s="1">
        <v>20</v>
      </c>
      <c r="C104" s="1" t="str">
        <f t="shared" si="30"/>
        <v>项</v>
      </c>
      <c r="D104" s="1" t="str">
        <f t="shared" si="31"/>
        <v>项</v>
      </c>
      <c r="E104" s="1" t="str">
        <f t="shared" si="25"/>
        <v>检验费</v>
      </c>
    </row>
    <row r="105" spans="1:5">
      <c r="A105" s="1" t="str">
        <f>"(FIB)血浆纤维蛋白原测定"</f>
        <v>(FIB)血浆纤维蛋白原测定</v>
      </c>
      <c r="B105" s="1">
        <v>15</v>
      </c>
      <c r="C105" s="1" t="str">
        <f t="shared" si="30"/>
        <v>项</v>
      </c>
      <c r="D105" s="1" t="str">
        <f t="shared" si="31"/>
        <v>项</v>
      </c>
      <c r="E105" s="1" t="str">
        <f t="shared" si="25"/>
        <v>检验费</v>
      </c>
    </row>
    <row r="106" spans="1:5">
      <c r="A106" s="1" t="str">
        <f>"凝血酶时间测定(TT)"</f>
        <v>凝血酶时间测定(TT)</v>
      </c>
      <c r="B106" s="1">
        <v>12</v>
      </c>
      <c r="C106" s="1" t="str">
        <f t="shared" si="30"/>
        <v>项</v>
      </c>
      <c r="D106" s="1" t="str">
        <f t="shared" si="31"/>
        <v>项</v>
      </c>
      <c r="E106" s="1" t="str">
        <f t="shared" si="25"/>
        <v>检验费</v>
      </c>
    </row>
    <row r="107" spans="1:5">
      <c r="A107" s="1" t="str">
        <f>"血浆D-二聚体测定(D-Dimer)仪器法"</f>
        <v>血浆D-二聚体测定(D-Dimer)仪器法</v>
      </c>
      <c r="B107" s="1">
        <v>70</v>
      </c>
      <c r="C107" s="1" t="str">
        <f t="shared" si="30"/>
        <v>项</v>
      </c>
      <c r="D107" s="1" t="str">
        <f t="shared" si="31"/>
        <v>项</v>
      </c>
      <c r="E107" s="1" t="str">
        <f t="shared" si="25"/>
        <v>检验费</v>
      </c>
    </row>
    <row r="108" spans="1:5">
      <c r="A108" s="1" t="str">
        <f>"红细胞流变特性检测"</f>
        <v>红细胞流变特性检测</v>
      </c>
      <c r="B108" s="1">
        <v>15</v>
      </c>
      <c r="C108" s="1" t="str">
        <f>"次"</f>
        <v>次</v>
      </c>
      <c r="D108" s="1" t="str">
        <f>"次"</f>
        <v>次</v>
      </c>
      <c r="E108" s="1" t="str">
        <f t="shared" si="25"/>
        <v>检验费</v>
      </c>
    </row>
    <row r="109" spans="1:5">
      <c r="A109" s="1" t="str">
        <f>"全血粘度测定（低切）"</f>
        <v>全血粘度测定（低切）</v>
      </c>
      <c r="B109" s="1">
        <v>15</v>
      </c>
      <c r="C109" s="1" t="str">
        <f t="shared" ref="C109:C114" si="32">"项"</f>
        <v>项</v>
      </c>
      <c r="D109" s="1" t="str">
        <f t="shared" ref="D109:D114" si="33">"项"</f>
        <v>项</v>
      </c>
      <c r="E109" s="1" t="str">
        <f t="shared" si="25"/>
        <v>检验费</v>
      </c>
    </row>
    <row r="110" spans="1:5">
      <c r="A110" s="1" t="str">
        <f>"全血粘度测定（中切）"</f>
        <v>全血粘度测定（中切）</v>
      </c>
      <c r="B110" s="1">
        <v>15</v>
      </c>
      <c r="C110" s="1" t="str">
        <f t="shared" si="32"/>
        <v>项</v>
      </c>
      <c r="D110" s="1" t="str">
        <f t="shared" si="33"/>
        <v>项</v>
      </c>
      <c r="E110" s="1" t="str">
        <f t="shared" si="25"/>
        <v>检验费</v>
      </c>
    </row>
    <row r="111" spans="1:5">
      <c r="A111" s="1" t="str">
        <f>"全血粘度测定（高切）"</f>
        <v>全血粘度测定（高切）</v>
      </c>
      <c r="B111" s="1">
        <v>15</v>
      </c>
      <c r="C111" s="1" t="str">
        <f t="shared" si="32"/>
        <v>项</v>
      </c>
      <c r="D111" s="1" t="str">
        <f t="shared" si="33"/>
        <v>项</v>
      </c>
      <c r="E111" s="1" t="str">
        <f t="shared" si="25"/>
        <v>检验费</v>
      </c>
    </row>
    <row r="112" spans="1:5">
      <c r="A112" s="1" t="str">
        <f>"血浆粘度测定"</f>
        <v>血浆粘度测定</v>
      </c>
      <c r="B112" s="1">
        <v>5</v>
      </c>
      <c r="C112" s="1" t="str">
        <f t="shared" si="32"/>
        <v>项</v>
      </c>
      <c r="D112" s="1" t="str">
        <f t="shared" si="33"/>
        <v>项</v>
      </c>
      <c r="E112" s="1" t="str">
        <f t="shared" si="25"/>
        <v>检验费</v>
      </c>
    </row>
    <row r="113" spans="1:5">
      <c r="A113" s="1" t="str">
        <f>"血清总蛋白测定化学法"</f>
        <v>血清总蛋白测定化学法</v>
      </c>
      <c r="B113" s="1">
        <v>4</v>
      </c>
      <c r="C113" s="1" t="str">
        <f t="shared" si="32"/>
        <v>项</v>
      </c>
      <c r="D113" s="1" t="str">
        <f t="shared" si="33"/>
        <v>项</v>
      </c>
      <c r="E113" s="1" t="str">
        <f t="shared" si="25"/>
        <v>检验费</v>
      </c>
    </row>
    <row r="114" spans="1:5">
      <c r="A114" s="1" t="str">
        <f>"血清白蛋白测定化学法"</f>
        <v>血清白蛋白测定化学法</v>
      </c>
      <c r="B114" s="1">
        <v>4</v>
      </c>
      <c r="C114" s="1" t="str">
        <f t="shared" si="32"/>
        <v>项</v>
      </c>
      <c r="D114" s="1" t="str">
        <f t="shared" si="33"/>
        <v>项</v>
      </c>
      <c r="E114" s="1" t="str">
        <f t="shared" si="25"/>
        <v>检验费</v>
      </c>
    </row>
    <row r="115" spans="1:5">
      <c r="A115" s="1" t="str">
        <f>"视黄醇结合蛋白测定"</f>
        <v>视黄醇结合蛋白测定</v>
      </c>
      <c r="B115" s="1">
        <v>15</v>
      </c>
      <c r="C115" s="1" t="str">
        <f>"-"</f>
        <v>-</v>
      </c>
      <c r="D115" s="1" t="str">
        <f t="shared" ref="D115:D118" si="34">"次"</f>
        <v>次</v>
      </c>
      <c r="E115" s="1" t="str">
        <f t="shared" si="25"/>
        <v>检验费</v>
      </c>
    </row>
    <row r="116" spans="1:5">
      <c r="A116" s="1" t="str">
        <f>"血清淀粉样蛋白A测定"</f>
        <v>血清淀粉样蛋白A测定</v>
      </c>
      <c r="B116" s="1">
        <v>30</v>
      </c>
      <c r="C116" s="1" t="str">
        <f t="shared" ref="C116:C122" si="35">"项"</f>
        <v>项</v>
      </c>
      <c r="D116" s="1" t="str">
        <f t="shared" si="34"/>
        <v>次</v>
      </c>
      <c r="E116" s="1" t="str">
        <f t="shared" si="25"/>
        <v>检验费</v>
      </c>
    </row>
    <row r="117" spans="1:5">
      <c r="A117" s="1" t="str">
        <f>"葡萄糖测定"</f>
        <v>葡萄糖测定</v>
      </c>
      <c r="B117" s="1">
        <v>4</v>
      </c>
      <c r="C117" s="1" t="str">
        <f>"次"</f>
        <v>次</v>
      </c>
      <c r="D117" s="1" t="str">
        <f t="shared" si="34"/>
        <v>次</v>
      </c>
      <c r="E117" s="1" t="str">
        <f t="shared" si="25"/>
        <v>检验费</v>
      </c>
    </row>
    <row r="118" spans="1:5">
      <c r="A118" s="1" t="str">
        <f>"糖化血红蛋白测定"</f>
        <v>糖化血红蛋白测定</v>
      </c>
      <c r="B118" s="1">
        <v>30</v>
      </c>
      <c r="C118" s="1" t="str">
        <f>"次"</f>
        <v>次</v>
      </c>
      <c r="D118" s="1" t="str">
        <f t="shared" si="34"/>
        <v>次</v>
      </c>
      <c r="E118" s="1" t="str">
        <f t="shared" si="25"/>
        <v>检验费</v>
      </c>
    </row>
    <row r="119" spans="1:5">
      <c r="A119" s="1" t="str">
        <f>"血清总胆固醇测定化学法、酶法"</f>
        <v>血清总胆固醇测定化学法、酶法</v>
      </c>
      <c r="B119" s="1">
        <v>4</v>
      </c>
      <c r="C119" s="1" t="str">
        <f t="shared" si="35"/>
        <v>项</v>
      </c>
      <c r="D119" s="1" t="str">
        <f t="shared" ref="D119:D174" si="36">"项"</f>
        <v>项</v>
      </c>
      <c r="E119" s="1" t="str">
        <f t="shared" si="25"/>
        <v>检验费</v>
      </c>
    </row>
    <row r="120" spans="1:5">
      <c r="A120" s="1" t="str">
        <f>"血清甘油三酯测定化学法、酶法"</f>
        <v>血清甘油三酯测定化学法、酶法</v>
      </c>
      <c r="B120" s="1">
        <v>5</v>
      </c>
      <c r="C120" s="1" t="str">
        <f t="shared" si="35"/>
        <v>项</v>
      </c>
      <c r="D120" s="1" t="str">
        <f t="shared" si="36"/>
        <v>项</v>
      </c>
      <c r="E120" s="1" t="str">
        <f t="shared" si="25"/>
        <v>检验费</v>
      </c>
    </row>
    <row r="121" spans="1:5">
      <c r="A121" s="1" t="str">
        <f>"血清高密度脂蛋白胆固醇测定"</f>
        <v>血清高密度脂蛋白胆固醇测定</v>
      </c>
      <c r="B121" s="1">
        <v>8</v>
      </c>
      <c r="C121" s="1" t="str">
        <f t="shared" si="35"/>
        <v>项</v>
      </c>
      <c r="D121" s="1" t="str">
        <f t="shared" si="36"/>
        <v>项</v>
      </c>
      <c r="E121" s="1" t="str">
        <f t="shared" si="25"/>
        <v>检验费</v>
      </c>
    </row>
    <row r="122" spans="1:5">
      <c r="A122" s="1" t="str">
        <f>"血清低密度脂蛋白胆固醇测定其他方法"</f>
        <v>血清低密度脂蛋白胆固醇测定其他方法</v>
      </c>
      <c r="B122" s="1">
        <v>8</v>
      </c>
      <c r="C122" s="1" t="str">
        <f t="shared" si="35"/>
        <v>项</v>
      </c>
      <c r="D122" s="1" t="str">
        <f t="shared" si="36"/>
        <v>项</v>
      </c>
      <c r="E122" s="1" t="str">
        <f t="shared" si="25"/>
        <v>检验费</v>
      </c>
    </row>
    <row r="123" spans="1:5">
      <c r="A123" s="1" t="str">
        <f>"血清载脂蛋白α测定（免疫比浊法）"</f>
        <v>血清载脂蛋白α测定（免疫比浊法）</v>
      </c>
      <c r="B123" s="1">
        <v>25</v>
      </c>
      <c r="C123" s="1" t="str">
        <f>"-"</f>
        <v>-</v>
      </c>
      <c r="D123" s="1" t="str">
        <f t="shared" si="36"/>
        <v>项</v>
      </c>
      <c r="E123" s="1" t="str">
        <f t="shared" si="25"/>
        <v>检验费</v>
      </c>
    </row>
    <row r="124" spans="1:5">
      <c r="A124" s="1" t="str">
        <f>"钾测定"</f>
        <v>钾测定</v>
      </c>
      <c r="B124" s="1">
        <v>4</v>
      </c>
      <c r="C124" s="1" t="str">
        <f t="shared" ref="C124:C132" si="37">"项"</f>
        <v>项</v>
      </c>
      <c r="D124" s="1" t="str">
        <f t="shared" si="36"/>
        <v>项</v>
      </c>
      <c r="E124" s="1" t="str">
        <f t="shared" si="25"/>
        <v>检验费</v>
      </c>
    </row>
    <row r="125" spans="1:5">
      <c r="A125" s="1" t="str">
        <f>"钠测定"</f>
        <v>钠测定</v>
      </c>
      <c r="B125" s="1">
        <v>4</v>
      </c>
      <c r="C125" s="1" t="str">
        <f t="shared" si="37"/>
        <v>项</v>
      </c>
      <c r="D125" s="1" t="str">
        <f t="shared" si="36"/>
        <v>项</v>
      </c>
      <c r="E125" s="1" t="str">
        <f t="shared" si="25"/>
        <v>检验费</v>
      </c>
    </row>
    <row r="126" spans="1:5">
      <c r="A126" s="1" t="str">
        <f>"氯测定"</f>
        <v>氯测定</v>
      </c>
      <c r="B126" s="1">
        <v>4</v>
      </c>
      <c r="C126" s="1" t="str">
        <f t="shared" si="37"/>
        <v>项</v>
      </c>
      <c r="D126" s="1" t="str">
        <f t="shared" si="36"/>
        <v>项</v>
      </c>
      <c r="E126" s="1" t="str">
        <f t="shared" si="25"/>
        <v>检验费</v>
      </c>
    </row>
    <row r="127" spans="1:5">
      <c r="A127" s="1" t="str">
        <f>"钙测定"</f>
        <v>钙测定</v>
      </c>
      <c r="B127" s="1">
        <v>4</v>
      </c>
      <c r="C127" s="1" t="str">
        <f t="shared" si="37"/>
        <v>项</v>
      </c>
      <c r="D127" s="1" t="str">
        <f t="shared" si="36"/>
        <v>项</v>
      </c>
      <c r="E127" s="1" t="str">
        <f t="shared" si="25"/>
        <v>检验费</v>
      </c>
    </row>
    <row r="128" spans="1:5">
      <c r="A128" s="1" t="str">
        <f>"钙测定（干化学法）"</f>
        <v>钙测定（干化学法）</v>
      </c>
      <c r="B128" s="1">
        <v>10</v>
      </c>
      <c r="C128" s="1" t="str">
        <f t="shared" si="37"/>
        <v>项</v>
      </c>
      <c r="D128" s="1" t="str">
        <f t="shared" si="36"/>
        <v>项</v>
      </c>
      <c r="E128" s="1" t="str">
        <f t="shared" si="25"/>
        <v>检验费</v>
      </c>
    </row>
    <row r="129" spans="1:5">
      <c r="A129" s="1" t="str">
        <f>"全血铅测定"</f>
        <v>全血铅测定</v>
      </c>
      <c r="B129" s="1">
        <v>20</v>
      </c>
      <c r="C129" s="1" t="str">
        <f t="shared" si="37"/>
        <v>项</v>
      </c>
      <c r="D129" s="1" t="str">
        <f t="shared" si="36"/>
        <v>项</v>
      </c>
      <c r="E129" s="1" t="str">
        <f t="shared" si="25"/>
        <v>检验费</v>
      </c>
    </row>
    <row r="130" spans="1:5">
      <c r="A130" s="1" t="str">
        <f>"微量元素测定"</f>
        <v>微量元素测定</v>
      </c>
      <c r="B130" s="1">
        <v>6</v>
      </c>
      <c r="C130" s="1" t="str">
        <f t="shared" si="37"/>
        <v>项</v>
      </c>
      <c r="D130" s="1" t="str">
        <f t="shared" si="36"/>
        <v>项</v>
      </c>
      <c r="E130" s="1" t="str">
        <f t="shared" si="25"/>
        <v>检验费</v>
      </c>
    </row>
    <row r="131" spans="1:5">
      <c r="A131" s="1" t="str">
        <f>"血清总胆红素测定"</f>
        <v>血清总胆红素测定</v>
      </c>
      <c r="B131" s="1">
        <v>4</v>
      </c>
      <c r="C131" s="1" t="str">
        <f t="shared" si="37"/>
        <v>项</v>
      </c>
      <c r="D131" s="1" t="str">
        <f t="shared" si="36"/>
        <v>项</v>
      </c>
      <c r="E131" s="1" t="str">
        <f t="shared" si="25"/>
        <v>检验费</v>
      </c>
    </row>
    <row r="132" spans="1:5">
      <c r="A132" s="1" t="str">
        <f>"血清直接胆红素测定"</f>
        <v>血清直接胆红素测定</v>
      </c>
      <c r="B132" s="1">
        <v>4</v>
      </c>
      <c r="C132" s="1" t="str">
        <f t="shared" si="37"/>
        <v>项</v>
      </c>
      <c r="D132" s="1" t="str">
        <f t="shared" si="36"/>
        <v>项</v>
      </c>
      <c r="E132" s="1" t="str">
        <f t="shared" si="25"/>
        <v>检验费</v>
      </c>
    </row>
    <row r="133" spans="1:5">
      <c r="A133" s="1" t="str">
        <f>"血清间接胆红素测定"</f>
        <v>血清间接胆红素测定</v>
      </c>
      <c r="B133" s="1">
        <v>5</v>
      </c>
      <c r="C133" s="1" t="str">
        <f>"-"</f>
        <v>-</v>
      </c>
      <c r="D133" s="1" t="str">
        <f t="shared" si="36"/>
        <v>项</v>
      </c>
      <c r="E133" s="1" t="str">
        <f t="shared" si="25"/>
        <v>检验费</v>
      </c>
    </row>
    <row r="134" spans="1:5">
      <c r="A134" s="1" t="str">
        <f>"(ALT)血清丙氨酸氨基转移酶测定"</f>
        <v>(ALT)血清丙氨酸氨基转移酶测定</v>
      </c>
      <c r="B134" s="1">
        <v>5</v>
      </c>
      <c r="C134" s="1" t="str">
        <f t="shared" ref="C134:C138" si="38">"项"</f>
        <v>项</v>
      </c>
      <c r="D134" s="1" t="str">
        <f t="shared" si="36"/>
        <v>项</v>
      </c>
      <c r="E134" s="1" t="str">
        <f t="shared" si="25"/>
        <v>检验费</v>
      </c>
    </row>
    <row r="135" spans="1:5">
      <c r="A135" s="1" t="str">
        <f>"(AST)血清天门冬氨酸氨基转移酶测定速率法"</f>
        <v>(AST)血清天门冬氨酸氨基转移酶测定速率法</v>
      </c>
      <c r="B135" s="1">
        <v>5</v>
      </c>
      <c r="C135" s="1" t="str">
        <f t="shared" si="38"/>
        <v>项</v>
      </c>
      <c r="D135" s="1" t="str">
        <f t="shared" si="36"/>
        <v>项</v>
      </c>
      <c r="E135" s="1" t="str">
        <f t="shared" si="25"/>
        <v>检验费</v>
      </c>
    </row>
    <row r="136" spans="1:5">
      <c r="A136" s="1" t="str">
        <f>"血清γ-谷氨酰基转移酶测定速率法"</f>
        <v>血清γ-谷氨酰基转移酶测定速率法</v>
      </c>
      <c r="B136" s="1">
        <v>5</v>
      </c>
      <c r="C136" s="1" t="str">
        <f t="shared" si="38"/>
        <v>项</v>
      </c>
      <c r="D136" s="1" t="str">
        <f t="shared" si="36"/>
        <v>项</v>
      </c>
      <c r="E136" s="1" t="str">
        <f t="shared" si="25"/>
        <v>检验费</v>
      </c>
    </row>
    <row r="137" spans="1:5">
      <c r="A137" s="1" t="str">
        <f>"(AKP)血清碱性磷酸酶测定速率法"</f>
        <v>(AKP)血清碱性磷酸酶测定速率法</v>
      </c>
      <c r="B137" s="1">
        <v>5</v>
      </c>
      <c r="C137" s="1" t="str">
        <f t="shared" si="38"/>
        <v>项</v>
      </c>
      <c r="D137" s="1" t="str">
        <f t="shared" si="36"/>
        <v>项</v>
      </c>
      <c r="E137" s="1" t="str">
        <f t="shared" si="25"/>
        <v>检验费</v>
      </c>
    </row>
    <row r="138" spans="1:5">
      <c r="A138" s="1" t="str">
        <f>"血清骨型碱性磷酸酶质量测定"</f>
        <v>血清骨型碱性磷酸酶质量测定</v>
      </c>
      <c r="B138" s="1">
        <v>30</v>
      </c>
      <c r="C138" s="1" t="str">
        <f t="shared" si="38"/>
        <v>项</v>
      </c>
      <c r="D138" s="1" t="str">
        <f t="shared" si="36"/>
        <v>项</v>
      </c>
      <c r="E138" s="1" t="str">
        <f t="shared" si="25"/>
        <v>检验费</v>
      </c>
    </row>
    <row r="139" spans="1:5">
      <c r="A139" s="1" t="str">
        <f>"血清肌酸激酶测定（速率法）"</f>
        <v>血清肌酸激酶测定（速率法）</v>
      </c>
      <c r="B139" s="1">
        <v>5</v>
      </c>
      <c r="C139" s="1" t="str">
        <f>"-"</f>
        <v>-</v>
      </c>
      <c r="D139" s="1" t="str">
        <f t="shared" si="36"/>
        <v>项</v>
      </c>
      <c r="E139" s="1" t="str">
        <f t="shared" si="25"/>
        <v>检验费</v>
      </c>
    </row>
    <row r="140" spans="1:5">
      <c r="A140" s="1" t="str">
        <f>"血清肌酸激酶-MB同工酶活性测定（速率法）"</f>
        <v>血清肌酸激酶-MB同工酶活性测定（速率法）</v>
      </c>
      <c r="B140" s="1">
        <v>5</v>
      </c>
      <c r="C140" s="1" t="str">
        <f>"-"</f>
        <v>-</v>
      </c>
      <c r="D140" s="1" t="str">
        <f t="shared" si="36"/>
        <v>项</v>
      </c>
      <c r="E140" s="1" t="str">
        <f t="shared" si="25"/>
        <v>检验费</v>
      </c>
    </row>
    <row r="141" spans="1:5">
      <c r="A141" s="1" t="str">
        <f>"血清肌酸激酶－MB同工酶质量测定"</f>
        <v>血清肌酸激酶－MB同工酶质量测定</v>
      </c>
      <c r="B141" s="1">
        <v>60</v>
      </c>
      <c r="C141" s="1" t="str">
        <f t="shared" ref="C141:C152" si="39">"项"</f>
        <v>项</v>
      </c>
      <c r="D141" s="1" t="str">
        <f t="shared" si="36"/>
        <v>项</v>
      </c>
      <c r="E141" s="1" t="str">
        <f t="shared" si="25"/>
        <v>检验费</v>
      </c>
    </row>
    <row r="142" spans="1:5">
      <c r="A142" s="1" t="str">
        <f>"(LDH)乳酸脱氢酶测定"</f>
        <v>(LDH)乳酸脱氢酶测定</v>
      </c>
      <c r="B142" s="1">
        <v>5</v>
      </c>
      <c r="C142" s="1" t="str">
        <f t="shared" si="39"/>
        <v>项</v>
      </c>
      <c r="D142" s="1" t="str">
        <f t="shared" si="36"/>
        <v>项</v>
      </c>
      <c r="E142" s="1" t="str">
        <f t="shared" si="25"/>
        <v>检验费</v>
      </c>
    </row>
    <row r="143" spans="1:5">
      <c r="A143" s="1" t="str">
        <f>"血清α羟基丁酸脱氢酶测定速率法"</f>
        <v>血清α羟基丁酸脱氢酶测定速率法</v>
      </c>
      <c r="B143" s="1">
        <v>10</v>
      </c>
      <c r="C143" s="1" t="str">
        <f t="shared" si="39"/>
        <v>项</v>
      </c>
      <c r="D143" s="1" t="str">
        <f t="shared" si="36"/>
        <v>项</v>
      </c>
      <c r="E143" s="1" t="str">
        <f t="shared" si="25"/>
        <v>检验费</v>
      </c>
    </row>
    <row r="144" spans="1:5">
      <c r="A144" s="1" t="str">
        <f>"血清肌钙蛋白Ⅰ测定荧光免疫法"</f>
        <v>血清肌钙蛋白Ⅰ测定荧光免疫法</v>
      </c>
      <c r="B144" s="1">
        <v>70</v>
      </c>
      <c r="C144" s="1" t="str">
        <f t="shared" si="39"/>
        <v>项</v>
      </c>
      <c r="D144" s="1" t="str">
        <f t="shared" si="36"/>
        <v>项</v>
      </c>
      <c r="E144" s="1" t="str">
        <f t="shared" si="25"/>
        <v>检验费</v>
      </c>
    </row>
    <row r="145" spans="1:5">
      <c r="A145" s="1" t="str">
        <f>"血清肌红蛋白测定荧光免疫法"</f>
        <v>血清肌红蛋白测定荧光免疫法</v>
      </c>
      <c r="B145" s="1">
        <v>60</v>
      </c>
      <c r="C145" s="1" t="str">
        <f t="shared" si="39"/>
        <v>项</v>
      </c>
      <c r="D145" s="1" t="str">
        <f t="shared" si="36"/>
        <v>项</v>
      </c>
      <c r="E145" s="1" t="str">
        <f t="shared" si="25"/>
        <v>检验费</v>
      </c>
    </row>
    <row r="146" spans="1:5">
      <c r="A146" s="1" t="str">
        <f>"血同型半胱氨酸测定各种免疫学方法"</f>
        <v>血同型半胱氨酸测定各种免疫学方法</v>
      </c>
      <c r="B146" s="1">
        <v>60</v>
      </c>
      <c r="C146" s="1" t="str">
        <f t="shared" si="39"/>
        <v>项</v>
      </c>
      <c r="D146" s="1" t="str">
        <f t="shared" si="36"/>
        <v>项</v>
      </c>
      <c r="E146" s="1" t="str">
        <f t="shared" si="25"/>
        <v>检验费</v>
      </c>
    </row>
    <row r="147" spans="1:5">
      <c r="A147" s="1" t="str">
        <f>"N端-前脑钠肽（NT-PROBNP）测定"</f>
        <v>N端-前脑钠肽（NT-PROBNP）测定</v>
      </c>
      <c r="B147" s="1">
        <v>150</v>
      </c>
      <c r="C147" s="1" t="str">
        <f t="shared" si="39"/>
        <v>项</v>
      </c>
      <c r="D147" s="1" t="str">
        <f t="shared" si="36"/>
        <v>项</v>
      </c>
      <c r="E147" s="1" t="str">
        <f t="shared" si="25"/>
        <v>检验费</v>
      </c>
    </row>
    <row r="148" spans="1:5">
      <c r="A148" s="1" t="str">
        <f>"尿素测定"</f>
        <v>尿素测定</v>
      </c>
      <c r="B148" s="1">
        <v>4</v>
      </c>
      <c r="C148" s="1" t="str">
        <f t="shared" si="39"/>
        <v>项</v>
      </c>
      <c r="D148" s="1" t="str">
        <f t="shared" si="36"/>
        <v>项</v>
      </c>
      <c r="E148" s="1" t="str">
        <f t="shared" ref="E148:E211" si="40">"检验费"</f>
        <v>检验费</v>
      </c>
    </row>
    <row r="149" spans="1:5">
      <c r="A149" s="1" t="str">
        <f>"肌酐测定"</f>
        <v>肌酐测定</v>
      </c>
      <c r="B149" s="1">
        <v>4</v>
      </c>
      <c r="C149" s="1" t="str">
        <f t="shared" si="39"/>
        <v>项</v>
      </c>
      <c r="D149" s="1" t="str">
        <f t="shared" si="36"/>
        <v>项</v>
      </c>
      <c r="E149" s="1" t="str">
        <f t="shared" si="40"/>
        <v>检验费</v>
      </c>
    </row>
    <row r="150" spans="1:5">
      <c r="A150" s="1" t="str">
        <f>"肌酐测定（产检）"</f>
        <v>肌酐测定（产检）</v>
      </c>
      <c r="B150" s="1" t="str">
        <f>"0"</f>
        <v>0</v>
      </c>
      <c r="C150" s="1" t="str">
        <f t="shared" si="39"/>
        <v>项</v>
      </c>
      <c r="D150" s="1" t="str">
        <f t="shared" si="36"/>
        <v>项</v>
      </c>
      <c r="E150" s="1" t="str">
        <f t="shared" si="40"/>
        <v>检验费</v>
      </c>
    </row>
    <row r="151" spans="1:5">
      <c r="A151" s="1" t="str">
        <f>"血清尿酸测定"</f>
        <v>血清尿酸测定</v>
      </c>
      <c r="B151" s="1">
        <v>3</v>
      </c>
      <c r="C151" s="1" t="str">
        <f t="shared" si="39"/>
        <v>项</v>
      </c>
      <c r="D151" s="1" t="str">
        <f t="shared" si="36"/>
        <v>项</v>
      </c>
      <c r="E151" s="1" t="str">
        <f t="shared" si="40"/>
        <v>检验费</v>
      </c>
    </row>
    <row r="152" spans="1:5">
      <c r="A152" s="1" t="str">
        <f>"尿微量白蛋白测定散射比浊法"</f>
        <v>尿微量白蛋白测定散射比浊法</v>
      </c>
      <c r="B152" s="1">
        <v>35</v>
      </c>
      <c r="C152" s="1" t="str">
        <f t="shared" si="39"/>
        <v>项</v>
      </c>
      <c r="D152" s="1" t="str">
        <f t="shared" si="36"/>
        <v>项</v>
      </c>
      <c r="E152" s="1" t="str">
        <f t="shared" si="40"/>
        <v>检验费</v>
      </c>
    </row>
    <row r="153" spans="1:5">
      <c r="A153" s="1" t="str">
        <f>"血清胱抑素(CystatinC)测定"</f>
        <v>血清胱抑素(CystatinC)测定</v>
      </c>
      <c r="B153" s="1">
        <v>15</v>
      </c>
      <c r="C153" s="1" t="str">
        <f>"-"</f>
        <v>-</v>
      </c>
      <c r="D153" s="1" t="str">
        <f t="shared" si="36"/>
        <v>项</v>
      </c>
      <c r="E153" s="1" t="str">
        <f t="shared" si="40"/>
        <v>检验费</v>
      </c>
    </row>
    <row r="154" spans="1:5">
      <c r="A154" s="1" t="str">
        <f>"25羟维生素D测定"</f>
        <v>25羟维生素D测定</v>
      </c>
      <c r="B154" s="1">
        <v>110</v>
      </c>
      <c r="C154" s="1" t="str">
        <f>"-"</f>
        <v>-</v>
      </c>
      <c r="D154" s="1" t="str">
        <f t="shared" si="36"/>
        <v>项</v>
      </c>
      <c r="E154" s="1" t="str">
        <f t="shared" si="40"/>
        <v>检验费</v>
      </c>
    </row>
    <row r="155" spans="1:5">
      <c r="A155" s="1" t="str">
        <f>"(TSH)血清促甲状腺激素测定"</f>
        <v>(TSH)血清促甲状腺激素测定</v>
      </c>
      <c r="B155" s="1">
        <v>40</v>
      </c>
      <c r="C155" s="1" t="str">
        <f t="shared" ref="C155:C163" si="41">"项"</f>
        <v>项</v>
      </c>
      <c r="D155" s="1" t="str">
        <f t="shared" si="36"/>
        <v>项</v>
      </c>
      <c r="E155" s="1" t="str">
        <f t="shared" si="40"/>
        <v>检验费</v>
      </c>
    </row>
    <row r="156" spans="1:5">
      <c r="A156" s="1" t="str">
        <f>"(PRL)血清泌乳素测定"</f>
        <v>(PRL)血清泌乳素测定</v>
      </c>
      <c r="B156" s="1">
        <v>45</v>
      </c>
      <c r="C156" s="1" t="str">
        <f t="shared" si="41"/>
        <v>项</v>
      </c>
      <c r="D156" s="1" t="str">
        <f t="shared" si="36"/>
        <v>项</v>
      </c>
      <c r="E156" s="1" t="str">
        <f t="shared" si="40"/>
        <v>检验费</v>
      </c>
    </row>
    <row r="157" spans="1:5">
      <c r="A157" s="1" t="str">
        <f>"(FSH)血清促卵泡刺激素测定"</f>
        <v>(FSH)血清促卵泡刺激素测定</v>
      </c>
      <c r="B157" s="1">
        <v>40</v>
      </c>
      <c r="C157" s="1" t="str">
        <f t="shared" si="41"/>
        <v>项</v>
      </c>
      <c r="D157" s="1" t="str">
        <f t="shared" si="36"/>
        <v>项</v>
      </c>
      <c r="E157" s="1" t="str">
        <f t="shared" si="40"/>
        <v>检验费</v>
      </c>
    </row>
    <row r="158" spans="1:5">
      <c r="A158" s="1" t="str">
        <f>"(LH)血清促黄体生成素测定"</f>
        <v>(LH)血清促黄体生成素测定</v>
      </c>
      <c r="B158" s="1">
        <v>40</v>
      </c>
      <c r="C158" s="1" t="str">
        <f t="shared" si="41"/>
        <v>项</v>
      </c>
      <c r="D158" s="1" t="str">
        <f t="shared" si="36"/>
        <v>项</v>
      </c>
      <c r="E158" s="1" t="str">
        <f t="shared" si="40"/>
        <v>检验费</v>
      </c>
    </row>
    <row r="159" spans="1:5">
      <c r="A159" s="1" t="str">
        <f>"血清甲状腺素(T4)测定"</f>
        <v>血清甲状腺素(T4)测定</v>
      </c>
      <c r="B159" s="1">
        <v>40</v>
      </c>
      <c r="C159" s="1" t="str">
        <f t="shared" si="41"/>
        <v>项</v>
      </c>
      <c r="D159" s="1" t="str">
        <f t="shared" si="36"/>
        <v>项</v>
      </c>
      <c r="E159" s="1" t="str">
        <f t="shared" si="40"/>
        <v>检验费</v>
      </c>
    </row>
    <row r="160" spans="1:5">
      <c r="A160" s="1" t="str">
        <f>"血清三碘甲状原氨酸(T3)测定"</f>
        <v>血清三碘甲状原氨酸(T3)测定</v>
      </c>
      <c r="B160" s="1">
        <v>40</v>
      </c>
      <c r="C160" s="1" t="str">
        <f t="shared" si="41"/>
        <v>项</v>
      </c>
      <c r="D160" s="1" t="str">
        <f t="shared" si="36"/>
        <v>项</v>
      </c>
      <c r="E160" s="1" t="str">
        <f t="shared" si="40"/>
        <v>检验费</v>
      </c>
    </row>
    <row r="161" spans="1:5">
      <c r="A161" s="1" t="str">
        <f>"血清反T3测定各种免疫学方法"</f>
        <v>血清反T3测定各种免疫学方法</v>
      </c>
      <c r="B161" s="1">
        <v>12</v>
      </c>
      <c r="C161" s="1" t="str">
        <f t="shared" si="41"/>
        <v>项</v>
      </c>
      <c r="D161" s="1" t="str">
        <f t="shared" si="36"/>
        <v>项</v>
      </c>
      <c r="E161" s="1" t="str">
        <f t="shared" si="40"/>
        <v>检验费</v>
      </c>
    </row>
    <row r="162" spans="1:5">
      <c r="A162" s="1" t="str">
        <f>"血清游离甲状腺素(FT4)测定"</f>
        <v>血清游离甲状腺素(FT4)测定</v>
      </c>
      <c r="B162" s="1">
        <v>40</v>
      </c>
      <c r="C162" s="1" t="str">
        <f t="shared" si="41"/>
        <v>项</v>
      </c>
      <c r="D162" s="1" t="str">
        <f t="shared" si="36"/>
        <v>项</v>
      </c>
      <c r="E162" s="1" t="str">
        <f t="shared" si="40"/>
        <v>检验费</v>
      </c>
    </row>
    <row r="163" spans="1:5">
      <c r="A163" s="1" t="str">
        <f>"血清游离三碘甲状原氨酸(FT3)测定"</f>
        <v>血清游离三碘甲状原氨酸(FT3)测定</v>
      </c>
      <c r="B163" s="1">
        <v>40</v>
      </c>
      <c r="C163" s="1" t="str">
        <f t="shared" si="41"/>
        <v>项</v>
      </c>
      <c r="D163" s="1" t="str">
        <f t="shared" si="36"/>
        <v>项</v>
      </c>
      <c r="E163" s="1" t="str">
        <f t="shared" si="40"/>
        <v>检验费</v>
      </c>
    </row>
    <row r="164" spans="1:5">
      <c r="A164" s="1" t="str">
        <f>"血清甲状腺结合球蛋白测定（化学发光法、荧光免疫法）"</f>
        <v>血清甲状腺结合球蛋白测定（化学发光法、荧光免疫法）</v>
      </c>
      <c r="B164" s="1">
        <v>60</v>
      </c>
      <c r="C164" s="1" t="str">
        <f>"-"</f>
        <v>-</v>
      </c>
      <c r="D164" s="1" t="str">
        <f t="shared" si="36"/>
        <v>项</v>
      </c>
      <c r="E164" s="1" t="str">
        <f t="shared" si="40"/>
        <v>检验费</v>
      </c>
    </row>
    <row r="165" spans="1:5">
      <c r="A165" s="1" t="str">
        <f>"促甲状腺素受体抗体测定各种免疫学方法"</f>
        <v>促甲状腺素受体抗体测定各种免疫学方法</v>
      </c>
      <c r="B165" s="1">
        <v>15</v>
      </c>
      <c r="C165" s="1" t="str">
        <f t="shared" ref="C165:C170" si="42">"项"</f>
        <v>项</v>
      </c>
      <c r="D165" s="1" t="str">
        <f t="shared" si="36"/>
        <v>项</v>
      </c>
      <c r="E165" s="1" t="str">
        <f t="shared" si="40"/>
        <v>检验费</v>
      </c>
    </row>
    <row r="166" spans="1:5">
      <c r="A166" s="1" t="str">
        <f>"(TRAB)促甲状腺素受体抗体测定"</f>
        <v>(TRAB)促甲状腺素受体抗体测定</v>
      </c>
      <c r="B166" s="1">
        <v>60</v>
      </c>
      <c r="C166" s="1" t="str">
        <f t="shared" si="42"/>
        <v>项</v>
      </c>
      <c r="D166" s="1" t="str">
        <f t="shared" si="36"/>
        <v>项</v>
      </c>
      <c r="E166" s="1" t="str">
        <f t="shared" si="40"/>
        <v>检验费</v>
      </c>
    </row>
    <row r="167" spans="1:5">
      <c r="A167" s="1" t="str">
        <f>"(T)睾酮测定"</f>
        <v>(T)睾酮测定</v>
      </c>
      <c r="B167" s="1">
        <v>60</v>
      </c>
      <c r="C167" s="1" t="str">
        <f t="shared" si="42"/>
        <v>项</v>
      </c>
      <c r="D167" s="1" t="str">
        <f t="shared" si="36"/>
        <v>项</v>
      </c>
      <c r="E167" s="1" t="str">
        <f t="shared" si="40"/>
        <v>检验费</v>
      </c>
    </row>
    <row r="168" spans="1:5">
      <c r="A168" s="1" t="str">
        <f>"(E2)雌二醇测定"</f>
        <v>(E2)雌二醇测定</v>
      </c>
      <c r="B168" s="1">
        <v>60</v>
      </c>
      <c r="C168" s="1" t="str">
        <f t="shared" si="42"/>
        <v>项</v>
      </c>
      <c r="D168" s="1" t="str">
        <f t="shared" si="36"/>
        <v>项</v>
      </c>
      <c r="E168" s="1" t="str">
        <f t="shared" si="40"/>
        <v>检验费</v>
      </c>
    </row>
    <row r="169" spans="1:5">
      <c r="A169" s="1" t="str">
        <f>"(P)孕酮测定"</f>
        <v>(P)孕酮测定</v>
      </c>
      <c r="B169" s="1">
        <v>60</v>
      </c>
      <c r="C169" s="1" t="str">
        <f t="shared" si="42"/>
        <v>项</v>
      </c>
      <c r="D169" s="1" t="str">
        <f t="shared" si="36"/>
        <v>项</v>
      </c>
      <c r="E169" s="1" t="str">
        <f t="shared" si="40"/>
        <v>检验费</v>
      </c>
    </row>
    <row r="170" spans="1:5">
      <c r="A170" s="1" t="str">
        <f>"胃泌素测定各种免疫学方法"</f>
        <v>胃泌素测定各种免疫学方法</v>
      </c>
      <c r="B170" s="1">
        <v>15</v>
      </c>
      <c r="C170" s="1" t="str">
        <f t="shared" si="42"/>
        <v>项</v>
      </c>
      <c r="D170" s="1" t="str">
        <f t="shared" si="36"/>
        <v>项</v>
      </c>
      <c r="E170" s="1" t="str">
        <f t="shared" si="40"/>
        <v>检验费</v>
      </c>
    </row>
    <row r="171" spans="1:5">
      <c r="A171" s="1" t="str">
        <f>"胃泌素测定"</f>
        <v>胃泌素测定</v>
      </c>
      <c r="B171" s="1">
        <v>40</v>
      </c>
      <c r="C171" s="1">
        <v>1</v>
      </c>
      <c r="D171" s="1" t="str">
        <f t="shared" si="36"/>
        <v>项</v>
      </c>
      <c r="E171" s="1" t="str">
        <f t="shared" si="40"/>
        <v>检验费</v>
      </c>
    </row>
    <row r="172" spans="1:5">
      <c r="A172" s="1" t="str">
        <f>"抗甲状腺球蛋白抗体测定(TGAb)"</f>
        <v>抗甲状腺球蛋白抗体测定(TGAb)</v>
      </c>
      <c r="B172" s="1">
        <v>35</v>
      </c>
      <c r="C172" s="1" t="str">
        <f t="shared" ref="C172:C174" si="43">"项"</f>
        <v>项</v>
      </c>
      <c r="D172" s="1" t="str">
        <f t="shared" si="36"/>
        <v>项</v>
      </c>
      <c r="E172" s="1" t="str">
        <f t="shared" si="40"/>
        <v>检验费</v>
      </c>
    </row>
    <row r="173" spans="1:5">
      <c r="A173" s="1" t="str">
        <f>"抗甲状腺微粒体抗体测定(TMAb)各种免疫学方法"</f>
        <v>抗甲状腺微粒体抗体测定(TMAb)各种免疫学方法</v>
      </c>
      <c r="B173" s="1">
        <v>10</v>
      </c>
      <c r="C173" s="1" t="str">
        <f t="shared" si="43"/>
        <v>项</v>
      </c>
      <c r="D173" s="1" t="str">
        <f t="shared" si="36"/>
        <v>项</v>
      </c>
      <c r="E173" s="1" t="str">
        <f t="shared" si="40"/>
        <v>检验费</v>
      </c>
    </row>
    <row r="174" spans="1:5">
      <c r="A174" s="1" t="str">
        <f>"抗甲状腺微粒体抗体测定(TMAb)"</f>
        <v>抗甲状腺微粒体抗体测定(TMAb)</v>
      </c>
      <c r="B174" s="1">
        <v>35</v>
      </c>
      <c r="C174" s="1" t="str">
        <f t="shared" si="43"/>
        <v>项</v>
      </c>
      <c r="D174" s="1" t="str">
        <f t="shared" si="36"/>
        <v>项</v>
      </c>
      <c r="E174" s="1" t="str">
        <f t="shared" si="40"/>
        <v>检验费</v>
      </c>
    </row>
    <row r="175" spans="1:5">
      <c r="A175" s="1" t="str">
        <f>"类风湿因子(RF)测定（散射比浊法）"</f>
        <v>类风湿因子(RF)测定（散射比浊法）</v>
      </c>
      <c r="B175" s="1">
        <v>30</v>
      </c>
      <c r="C175" s="1" t="str">
        <f>"-"</f>
        <v>-</v>
      </c>
      <c r="D175" s="1" t="str">
        <f>"次"</f>
        <v>次</v>
      </c>
      <c r="E175" s="1" t="str">
        <f t="shared" si="40"/>
        <v>检验费</v>
      </c>
    </row>
    <row r="176" spans="1:5">
      <c r="A176" s="1" t="str">
        <f>"抗甲状腺过氧化物酶抗体"</f>
        <v>抗甲状腺过氧化物酶抗体</v>
      </c>
      <c r="B176" s="1">
        <v>70</v>
      </c>
      <c r="C176" s="1">
        <v>1</v>
      </c>
      <c r="D176" s="1" t="str">
        <f t="shared" ref="D176:D189" si="44">"项"</f>
        <v>项</v>
      </c>
      <c r="E176" s="1" t="str">
        <f t="shared" si="40"/>
        <v>检验费</v>
      </c>
    </row>
    <row r="177" spans="1:5">
      <c r="A177" s="1" t="str">
        <f>"乙型肝炎表面抗原测定(HBsAg)ELISA法"</f>
        <v>乙型肝炎表面抗原测定(HBsAg)ELISA法</v>
      </c>
      <c r="B177" s="1">
        <v>8</v>
      </c>
      <c r="C177" s="1" t="str">
        <f t="shared" ref="C177:C189" si="45">"项"</f>
        <v>项</v>
      </c>
      <c r="D177" s="1" t="str">
        <f t="shared" si="44"/>
        <v>项</v>
      </c>
      <c r="E177" s="1" t="str">
        <f t="shared" si="40"/>
        <v>检验费</v>
      </c>
    </row>
    <row r="178" spans="1:5">
      <c r="A178" s="1" t="str">
        <f>"乙型肝炎表面抗原测定(HBsAg)（化学发光法、免疫荧光法）"</f>
        <v>乙型肝炎表面抗原测定(HBsAg)（化学发光法、免疫荧光法）</v>
      </c>
      <c r="B178" s="1">
        <v>25</v>
      </c>
      <c r="C178" s="1" t="str">
        <f t="shared" si="45"/>
        <v>项</v>
      </c>
      <c r="D178" s="1" t="str">
        <f t="shared" si="44"/>
        <v>项</v>
      </c>
      <c r="E178" s="1" t="str">
        <f t="shared" si="40"/>
        <v>检验费</v>
      </c>
    </row>
    <row r="179" spans="1:5">
      <c r="A179" s="1" t="str">
        <f>"乙型肝炎表面抗体测定(Anti-HBs)ELISA法"</f>
        <v>乙型肝炎表面抗体测定(Anti-HBs)ELISA法</v>
      </c>
      <c r="B179" s="1">
        <v>8</v>
      </c>
      <c r="C179" s="1" t="str">
        <f t="shared" si="45"/>
        <v>项</v>
      </c>
      <c r="D179" s="1" t="str">
        <f t="shared" si="44"/>
        <v>项</v>
      </c>
      <c r="E179" s="1" t="str">
        <f t="shared" si="40"/>
        <v>检验费</v>
      </c>
    </row>
    <row r="180" spans="1:5">
      <c r="A180" s="1" t="str">
        <f>"乙型肝炎表面抗体测定(Anti-HBs)化学发光法、免疫荧光法"</f>
        <v>乙型肝炎表面抗体测定(Anti-HBs)化学发光法、免疫荧光法</v>
      </c>
      <c r="B180" s="1">
        <v>25</v>
      </c>
      <c r="C180" s="1" t="str">
        <f t="shared" si="45"/>
        <v>项</v>
      </c>
      <c r="D180" s="1" t="str">
        <f t="shared" si="44"/>
        <v>项</v>
      </c>
      <c r="E180" s="1" t="str">
        <f t="shared" si="40"/>
        <v>检验费</v>
      </c>
    </row>
    <row r="181" spans="1:5">
      <c r="A181" s="1" t="str">
        <f>"乙型肝炎e抗原测定(HBeAg)（免疫学法）"</f>
        <v>乙型肝炎e抗原测定(HBeAg)（免疫学法）</v>
      </c>
      <c r="B181" s="1">
        <v>4</v>
      </c>
      <c r="C181" s="1" t="str">
        <f t="shared" si="45"/>
        <v>项</v>
      </c>
      <c r="D181" s="1" t="str">
        <f t="shared" si="44"/>
        <v>项</v>
      </c>
      <c r="E181" s="1" t="str">
        <f t="shared" si="40"/>
        <v>检验费</v>
      </c>
    </row>
    <row r="182" spans="1:5">
      <c r="A182" s="1" t="str">
        <f>"乙型肝炎e抗原测定(HBeAg)（化学发光法、免疫荧光法）"</f>
        <v>乙型肝炎e抗原测定(HBeAg)（化学发光法、免疫荧光法）</v>
      </c>
      <c r="B182" s="1">
        <v>25</v>
      </c>
      <c r="C182" s="1" t="str">
        <f t="shared" si="45"/>
        <v>项</v>
      </c>
      <c r="D182" s="1" t="str">
        <f t="shared" si="44"/>
        <v>项</v>
      </c>
      <c r="E182" s="1" t="str">
        <f t="shared" si="40"/>
        <v>检验费</v>
      </c>
    </row>
    <row r="183" spans="1:5">
      <c r="A183" s="1" t="str">
        <f>"乙型肝炎e抗体测定(Anti-HBe)免疫学法"</f>
        <v>乙型肝炎e抗体测定(Anti-HBe)免疫学法</v>
      </c>
      <c r="B183" s="1">
        <v>4</v>
      </c>
      <c r="C183" s="1" t="str">
        <f t="shared" si="45"/>
        <v>项</v>
      </c>
      <c r="D183" s="1" t="str">
        <f t="shared" si="44"/>
        <v>项</v>
      </c>
      <c r="E183" s="1" t="str">
        <f t="shared" si="40"/>
        <v>检验费</v>
      </c>
    </row>
    <row r="184" spans="1:5">
      <c r="A184" s="1" t="str">
        <f>"乙型肝炎e抗体测定(Anti-HBe)化学发光法、免疫荧光法"</f>
        <v>乙型肝炎e抗体测定(Anti-HBe)化学发光法、免疫荧光法</v>
      </c>
      <c r="B184" s="1">
        <v>20</v>
      </c>
      <c r="C184" s="1" t="str">
        <f t="shared" si="45"/>
        <v>项</v>
      </c>
      <c r="D184" s="1" t="str">
        <f t="shared" si="44"/>
        <v>项</v>
      </c>
      <c r="E184" s="1" t="str">
        <f t="shared" si="40"/>
        <v>检验费</v>
      </c>
    </row>
    <row r="185" spans="1:5">
      <c r="A185" s="1" t="str">
        <f>"乙型肝炎核心抗体测定(Anti-HBc)（ELISA法）"</f>
        <v>乙型肝炎核心抗体测定(Anti-HBc)（ELISA法）</v>
      </c>
      <c r="B185" s="1">
        <v>8</v>
      </c>
      <c r="C185" s="1" t="str">
        <f t="shared" si="45"/>
        <v>项</v>
      </c>
      <c r="D185" s="1" t="str">
        <f t="shared" si="44"/>
        <v>项</v>
      </c>
      <c r="E185" s="1" t="str">
        <f t="shared" si="40"/>
        <v>检验费</v>
      </c>
    </row>
    <row r="186" spans="1:5">
      <c r="A186" s="1" t="str">
        <f>"乙型肝炎核心抗体测定(Anti-HBc)化学发光法、免疫荧光法"</f>
        <v>乙型肝炎核心抗体测定(Anti-HBc)化学发光法、免疫荧光法</v>
      </c>
      <c r="B186" s="1">
        <v>20</v>
      </c>
      <c r="C186" s="1" t="str">
        <f t="shared" si="45"/>
        <v>项</v>
      </c>
      <c r="D186" s="1" t="str">
        <f t="shared" si="44"/>
        <v>项</v>
      </c>
      <c r="E186" s="1" t="str">
        <f t="shared" si="40"/>
        <v>检验费</v>
      </c>
    </row>
    <row r="187" spans="1:5">
      <c r="A187" s="1" t="str">
        <f>"丙型肝炎抗体测定(Anti-HCV)"</f>
        <v>丙型肝炎抗体测定(Anti-HCV)</v>
      </c>
      <c r="B187" s="1">
        <v>25</v>
      </c>
      <c r="C187" s="1" t="str">
        <f t="shared" si="45"/>
        <v>项</v>
      </c>
      <c r="D187" s="1" t="str">
        <f t="shared" si="44"/>
        <v>项</v>
      </c>
      <c r="E187" s="1" t="str">
        <f t="shared" si="40"/>
        <v>检验费</v>
      </c>
    </row>
    <row r="188" spans="1:5">
      <c r="A188" s="1" t="str">
        <f>"人免疫缺陷病毒抗体测定(Anti-HIV)"</f>
        <v>人免疫缺陷病毒抗体测定(Anti-HIV)</v>
      </c>
      <c r="B188" s="1">
        <v>35</v>
      </c>
      <c r="C188" s="1" t="str">
        <f t="shared" si="45"/>
        <v>项</v>
      </c>
      <c r="D188" s="1" t="str">
        <f t="shared" si="44"/>
        <v>项</v>
      </c>
      <c r="E188" s="1" t="str">
        <f t="shared" si="40"/>
        <v>检验费</v>
      </c>
    </row>
    <row r="189" spans="1:5">
      <c r="A189" s="1" t="str">
        <f>"弓形体抗体测定IgG（各种免疫学方法）"</f>
        <v>弓形体抗体测定IgG（各种免疫学方法）</v>
      </c>
      <c r="B189" s="1">
        <v>25</v>
      </c>
      <c r="C189" s="1" t="str">
        <f t="shared" si="45"/>
        <v>项</v>
      </c>
      <c r="D189" s="1" t="str">
        <f t="shared" si="44"/>
        <v>项</v>
      </c>
      <c r="E189" s="1" t="str">
        <f t="shared" si="40"/>
        <v>检验费</v>
      </c>
    </row>
    <row r="190" spans="1:5">
      <c r="A190" s="1" t="str">
        <f>"风疹病毒抗体测定"</f>
        <v>风疹病毒抗体测定</v>
      </c>
      <c r="B190" s="1">
        <v>20</v>
      </c>
      <c r="C190" s="1">
        <v>1</v>
      </c>
      <c r="D190" s="1" t="str">
        <f>"次"</f>
        <v>次</v>
      </c>
      <c r="E190" s="1" t="str">
        <f t="shared" si="40"/>
        <v>检验费</v>
      </c>
    </row>
    <row r="191" spans="1:5">
      <c r="A191" s="1" t="str">
        <f>"巨细胞病毒抗体测定"</f>
        <v>巨细胞病毒抗体测定</v>
      </c>
      <c r="B191" s="1">
        <v>25</v>
      </c>
      <c r="C191" s="1" t="str">
        <f t="shared" ref="C191:C198" si="46">"项"</f>
        <v>项</v>
      </c>
      <c r="D191" s="1" t="str">
        <f t="shared" ref="D191:D201" si="47">"项"</f>
        <v>项</v>
      </c>
      <c r="E191" s="1" t="str">
        <f t="shared" si="40"/>
        <v>检验费</v>
      </c>
    </row>
    <row r="192" spans="1:5">
      <c r="A192" s="1" t="str">
        <f>"单纯疱疹病毒Ⅰ型抗体测定（各种免疫学方法）"</f>
        <v>单纯疱疹病毒Ⅰ型抗体测定（各种免疫学方法）</v>
      </c>
      <c r="B192" s="1">
        <v>25</v>
      </c>
      <c r="C192" s="1" t="str">
        <f t="shared" si="46"/>
        <v>项</v>
      </c>
      <c r="D192" s="1" t="str">
        <f t="shared" si="47"/>
        <v>项</v>
      </c>
      <c r="E192" s="1" t="str">
        <f t="shared" si="40"/>
        <v>检验费</v>
      </c>
    </row>
    <row r="193" spans="1:5">
      <c r="A193" s="1" t="str">
        <f>"单纯疱疹病毒抗体测定"</f>
        <v>单纯疱疹病毒抗体测定</v>
      </c>
      <c r="B193" s="1">
        <v>25</v>
      </c>
      <c r="C193" s="1" t="str">
        <f t="shared" si="46"/>
        <v>项</v>
      </c>
      <c r="D193" s="1" t="str">
        <f t="shared" si="47"/>
        <v>项</v>
      </c>
      <c r="E193" s="1" t="str">
        <f t="shared" si="40"/>
        <v>检验费</v>
      </c>
    </row>
    <row r="194" spans="1:5">
      <c r="A194" s="1" t="str">
        <f>"呼吸道合胞病毒抗体测定"</f>
        <v>呼吸道合胞病毒抗体测定</v>
      </c>
      <c r="B194" s="1">
        <v>20</v>
      </c>
      <c r="C194" s="1" t="str">
        <f t="shared" si="46"/>
        <v>项</v>
      </c>
      <c r="D194" s="1" t="str">
        <f t="shared" si="47"/>
        <v>项</v>
      </c>
      <c r="E194" s="1" t="str">
        <f t="shared" si="40"/>
        <v>检验费</v>
      </c>
    </row>
    <row r="195" spans="1:5">
      <c r="A195" s="1" t="str">
        <f>"副流感病毒抗体测定"</f>
        <v>副流感病毒抗体测定</v>
      </c>
      <c r="B195" s="1">
        <v>20</v>
      </c>
      <c r="C195" s="1" t="str">
        <f t="shared" si="46"/>
        <v>项</v>
      </c>
      <c r="D195" s="1" t="str">
        <f t="shared" si="47"/>
        <v>项</v>
      </c>
      <c r="E195" s="1" t="str">
        <f t="shared" si="40"/>
        <v>检验费</v>
      </c>
    </row>
    <row r="196" spans="1:5">
      <c r="A196" s="1" t="str">
        <f>"腺病毒抗体测定"</f>
        <v>腺病毒抗体测定</v>
      </c>
      <c r="B196" s="1">
        <v>15</v>
      </c>
      <c r="C196" s="1" t="str">
        <f t="shared" si="46"/>
        <v>项</v>
      </c>
      <c r="D196" s="1" t="str">
        <f t="shared" si="47"/>
        <v>项</v>
      </c>
      <c r="E196" s="1" t="str">
        <f t="shared" si="40"/>
        <v>检验费</v>
      </c>
    </row>
    <row r="197" spans="1:5">
      <c r="A197" s="1" t="str">
        <f>"病毒血清学试验"</f>
        <v>病毒血清学试验</v>
      </c>
      <c r="B197" s="1">
        <v>25</v>
      </c>
      <c r="C197" s="1" t="str">
        <f t="shared" si="46"/>
        <v>项</v>
      </c>
      <c r="D197" s="1" t="str">
        <f t="shared" si="47"/>
        <v>项</v>
      </c>
      <c r="E197" s="1" t="str">
        <f t="shared" si="40"/>
        <v>检验费</v>
      </c>
    </row>
    <row r="198" spans="1:5">
      <c r="A198" s="1" t="str">
        <f>"细菌抗体测定（各种免疫学方法）"</f>
        <v>细菌抗体测定（各种免疫学方法）</v>
      </c>
      <c r="B198" s="1">
        <v>25</v>
      </c>
      <c r="C198" s="1" t="str">
        <f t="shared" si="46"/>
        <v>项</v>
      </c>
      <c r="D198" s="1" t="str">
        <f t="shared" si="47"/>
        <v>项</v>
      </c>
      <c r="E198" s="1" t="str">
        <f t="shared" si="40"/>
        <v>检验费</v>
      </c>
    </row>
    <row r="199" spans="1:5">
      <c r="A199" s="1" t="str">
        <f>"抗链球菌溶血素O测定(ASO)（免疫法）"</f>
        <v>抗链球菌溶血素O测定(ASO)（免疫法）</v>
      </c>
      <c r="B199" s="1">
        <v>30</v>
      </c>
      <c r="C199" s="1" t="str">
        <f>"-"</f>
        <v>-</v>
      </c>
      <c r="D199" s="1" t="str">
        <f t="shared" si="47"/>
        <v>项</v>
      </c>
      <c r="E199" s="1" t="str">
        <f t="shared" si="40"/>
        <v>检验费</v>
      </c>
    </row>
    <row r="200" spans="1:5">
      <c r="A200" s="1" t="str">
        <f>"梅毒螺旋体特异抗体测定（凝集法）"</f>
        <v>梅毒螺旋体特异抗体测定（凝集法）</v>
      </c>
      <c r="B200" s="1">
        <v>20</v>
      </c>
      <c r="C200" s="1" t="str">
        <f t="shared" ref="C200:C203" si="48">"项"</f>
        <v>项</v>
      </c>
      <c r="D200" s="1" t="str">
        <f t="shared" si="47"/>
        <v>项</v>
      </c>
      <c r="E200" s="1" t="str">
        <f t="shared" si="40"/>
        <v>检验费</v>
      </c>
    </row>
    <row r="201" spans="1:5">
      <c r="A201" s="1" t="str">
        <f>"各类病原体DNA测定"</f>
        <v>各类病原体DNA测定</v>
      </c>
      <c r="B201" s="1">
        <v>50</v>
      </c>
      <c r="C201" s="1" t="str">
        <f t="shared" si="48"/>
        <v>项</v>
      </c>
      <c r="D201" s="1" t="str">
        <f t="shared" si="47"/>
        <v>项</v>
      </c>
      <c r="E201" s="1" t="str">
        <f t="shared" si="40"/>
        <v>检验费</v>
      </c>
    </row>
    <row r="202" spans="1:5">
      <c r="A202" s="1" t="str">
        <f>"人乳头瘤病毒分型检测"</f>
        <v>人乳头瘤病毒分型检测</v>
      </c>
      <c r="B202" s="1">
        <v>15</v>
      </c>
      <c r="C202" s="1" t="str">
        <f>"次"</f>
        <v>次</v>
      </c>
      <c r="D202" s="1" t="str">
        <f>"每个亚型"</f>
        <v>每个亚型</v>
      </c>
      <c r="E202" s="1" t="str">
        <f t="shared" si="40"/>
        <v>检验费</v>
      </c>
    </row>
    <row r="203" spans="1:5">
      <c r="A203" s="1" t="str">
        <f>"幽门螺杆菌快速检测"</f>
        <v>幽门螺杆菌快速检测</v>
      </c>
      <c r="B203" s="1">
        <v>46</v>
      </c>
      <c r="C203" s="1" t="str">
        <f t="shared" si="48"/>
        <v>项</v>
      </c>
      <c r="D203" s="1" t="str">
        <f t="shared" ref="D203:D214" si="49">"项"</f>
        <v>项</v>
      </c>
      <c r="E203" s="1" t="str">
        <f t="shared" si="40"/>
        <v>检验费</v>
      </c>
    </row>
    <row r="204" spans="1:5">
      <c r="A204" s="1" t="str">
        <f>"13碳尿素呼气试验"</f>
        <v>13碳尿素呼气试验</v>
      </c>
      <c r="B204" s="1">
        <v>150</v>
      </c>
      <c r="C204" s="1" t="str">
        <f>"次"</f>
        <v>次</v>
      </c>
      <c r="D204" s="1" t="str">
        <f>"次"</f>
        <v>次</v>
      </c>
      <c r="E204" s="1" t="str">
        <f t="shared" si="40"/>
        <v>检验费</v>
      </c>
    </row>
    <row r="205" spans="1:5">
      <c r="A205" s="1" t="str">
        <f>"呼吸道感染病原体IgM抗体检测"</f>
        <v>呼吸道感染病原体IgM抗体检测</v>
      </c>
      <c r="B205" s="1">
        <v>45</v>
      </c>
      <c r="C205" s="1" t="str">
        <f t="shared" ref="C205:C214" si="50">"项"</f>
        <v>项</v>
      </c>
      <c r="D205" s="1" t="str">
        <f t="shared" si="49"/>
        <v>项</v>
      </c>
      <c r="E205" s="1" t="str">
        <f t="shared" si="40"/>
        <v>检验费</v>
      </c>
    </row>
    <row r="206" spans="1:5">
      <c r="A206" s="1" t="str">
        <f>"新型冠状病毒核酸检测"</f>
        <v>新型冠状病毒核酸检测</v>
      </c>
      <c r="B206" s="1">
        <v>16</v>
      </c>
      <c r="C206" s="1" t="str">
        <f t="shared" si="50"/>
        <v>项</v>
      </c>
      <c r="D206" s="1" t="str">
        <f t="shared" si="49"/>
        <v>项</v>
      </c>
      <c r="E206" s="1" t="str">
        <f t="shared" si="40"/>
        <v>检验费</v>
      </c>
    </row>
    <row r="207" spans="1:5">
      <c r="A207" s="1" t="str">
        <f>"癌胚抗原测定(CEA)各种免疫学方法"</f>
        <v>癌胚抗原测定(CEA)各种免疫学方法</v>
      </c>
      <c r="B207" s="1">
        <v>15</v>
      </c>
      <c r="C207" s="1" t="str">
        <f t="shared" si="50"/>
        <v>项</v>
      </c>
      <c r="D207" s="1" t="str">
        <f t="shared" si="49"/>
        <v>项</v>
      </c>
      <c r="E207" s="1" t="str">
        <f t="shared" si="40"/>
        <v>检验费</v>
      </c>
    </row>
    <row r="208" spans="1:5">
      <c r="A208" s="1" t="str">
        <f>"(CEA)癌胚抗原测定"</f>
        <v>(CEA)癌胚抗原测定</v>
      </c>
      <c r="B208" s="1">
        <v>45</v>
      </c>
      <c r="C208" s="1" t="str">
        <f t="shared" si="50"/>
        <v>项</v>
      </c>
      <c r="D208" s="1" t="str">
        <f t="shared" si="49"/>
        <v>项</v>
      </c>
      <c r="E208" s="1" t="str">
        <f t="shared" si="40"/>
        <v>检验费</v>
      </c>
    </row>
    <row r="209" spans="1:5">
      <c r="A209" s="1" t="str">
        <f>"甲胎蛋白测定(AFP)各种免疫学方法"</f>
        <v>甲胎蛋白测定(AFP)各种免疫学方法</v>
      </c>
      <c r="B209" s="1">
        <v>15</v>
      </c>
      <c r="C209" s="1" t="str">
        <f t="shared" si="50"/>
        <v>项</v>
      </c>
      <c r="D209" s="1" t="str">
        <f t="shared" si="49"/>
        <v>项</v>
      </c>
      <c r="E209" s="1" t="str">
        <f t="shared" si="40"/>
        <v>检验费</v>
      </c>
    </row>
    <row r="210" spans="1:5">
      <c r="A210" s="1" t="str">
        <f>"(AFP)甲胎蛋白测定"</f>
        <v>(AFP)甲胎蛋白测定</v>
      </c>
      <c r="B210" s="1">
        <v>40</v>
      </c>
      <c r="C210" s="1" t="str">
        <f t="shared" si="50"/>
        <v>项</v>
      </c>
      <c r="D210" s="1" t="str">
        <f t="shared" si="49"/>
        <v>项</v>
      </c>
      <c r="E210" s="1" t="str">
        <f t="shared" si="40"/>
        <v>检验费</v>
      </c>
    </row>
    <row r="211" spans="1:5">
      <c r="A211" s="1" t="str">
        <f>"总前列腺特异性抗原测定(TPSA)各种免疫学方法"</f>
        <v>总前列腺特异性抗原测定(TPSA)各种免疫学方法</v>
      </c>
      <c r="B211" s="1">
        <v>65</v>
      </c>
      <c r="C211" s="1" t="str">
        <f t="shared" si="50"/>
        <v>项</v>
      </c>
      <c r="D211" s="1" t="str">
        <f t="shared" si="49"/>
        <v>项</v>
      </c>
      <c r="E211" s="1" t="str">
        <f t="shared" si="40"/>
        <v>检验费</v>
      </c>
    </row>
    <row r="212" spans="1:5">
      <c r="A212" s="1" t="str">
        <f>"游离前列腺特异性抗原测定(FPSA)"</f>
        <v>游离前列腺特异性抗原测定(FPSA)</v>
      </c>
      <c r="B212" s="1">
        <v>65</v>
      </c>
      <c r="C212" s="1" t="str">
        <f t="shared" si="50"/>
        <v>项</v>
      </c>
      <c r="D212" s="1" t="str">
        <f t="shared" si="49"/>
        <v>项</v>
      </c>
      <c r="E212" s="1" t="str">
        <f t="shared" ref="E212:E238" si="51">"检验费"</f>
        <v>检验费</v>
      </c>
    </row>
    <row r="213" spans="1:5">
      <c r="A213" s="1" t="str">
        <f>"前列腺酸性磷酸酶测定(PAP)"</f>
        <v>前列腺酸性磷酸酶测定(PAP)</v>
      </c>
      <c r="B213" s="1">
        <v>65</v>
      </c>
      <c r="C213" s="1" t="str">
        <f t="shared" si="50"/>
        <v>项</v>
      </c>
      <c r="D213" s="1" t="str">
        <f t="shared" si="49"/>
        <v>项</v>
      </c>
      <c r="E213" s="1" t="str">
        <f t="shared" si="51"/>
        <v>检验费</v>
      </c>
    </row>
    <row r="214" spans="1:5">
      <c r="A214" s="1" t="str">
        <f>"神经元特异性烯醇化酶测定(NSE)"</f>
        <v>神经元特异性烯醇化酶测定(NSE)</v>
      </c>
      <c r="B214" s="1">
        <v>65</v>
      </c>
      <c r="C214" s="1" t="str">
        <f t="shared" si="50"/>
        <v>项</v>
      </c>
      <c r="D214" s="1" t="str">
        <f t="shared" si="49"/>
        <v>项</v>
      </c>
      <c r="E214" s="1" t="str">
        <f t="shared" si="51"/>
        <v>检验费</v>
      </c>
    </row>
    <row r="215" spans="1:5">
      <c r="A215" s="1" t="str">
        <f>"细胞角蛋白19片段测定(CYFRA21-1)（化学发光法、荧光免疫法）"</f>
        <v>细胞角蛋白19片段测定(CYFRA21-1)（化学发光法、荧光免疫法）</v>
      </c>
      <c r="B215" s="1">
        <v>65</v>
      </c>
      <c r="C215" s="1" t="str">
        <f>"-"</f>
        <v>-</v>
      </c>
      <c r="D215" s="1" t="str">
        <f>"次"</f>
        <v>次</v>
      </c>
      <c r="E215" s="1" t="str">
        <f t="shared" si="51"/>
        <v>检验费</v>
      </c>
    </row>
    <row r="216" spans="1:5">
      <c r="A216" s="1" t="str">
        <f>"糖类抗原测定CA24-2(各种免疫学方法)"</f>
        <v>糖类抗原测定CA24-2(各种免疫学方法)</v>
      </c>
      <c r="B216" s="1">
        <v>35</v>
      </c>
      <c r="C216" s="1" t="str">
        <f t="shared" ref="C216:C222" si="52">"项"</f>
        <v>项</v>
      </c>
      <c r="D216" s="1" t="str">
        <f t="shared" ref="D216:D222" si="53">"项"</f>
        <v>项</v>
      </c>
      <c r="E216" s="1" t="str">
        <f t="shared" si="51"/>
        <v>检验费</v>
      </c>
    </row>
    <row r="217" spans="1:5">
      <c r="A217" s="1" t="str">
        <f>"糖类抗原测定CA-50(各种免疫学方法)"</f>
        <v>糖类抗原测定CA-50(各种免疫学方法)</v>
      </c>
      <c r="B217" s="1">
        <v>35</v>
      </c>
      <c r="C217" s="1" t="str">
        <f t="shared" si="52"/>
        <v>项</v>
      </c>
      <c r="D217" s="1" t="str">
        <f t="shared" si="53"/>
        <v>项</v>
      </c>
      <c r="E217" s="1" t="str">
        <f t="shared" si="51"/>
        <v>检验费</v>
      </c>
    </row>
    <row r="218" spans="1:5">
      <c r="A218" s="1" t="str">
        <f>"糖类抗原测定CA125(化学发光法、荧光免疫法)"</f>
        <v>糖类抗原测定CA125(化学发光法、荧光免疫法)</v>
      </c>
      <c r="B218" s="1">
        <v>65</v>
      </c>
      <c r="C218" s="1" t="str">
        <f t="shared" si="52"/>
        <v>项</v>
      </c>
      <c r="D218" s="1" t="str">
        <f t="shared" si="53"/>
        <v>项</v>
      </c>
      <c r="E218" s="1" t="str">
        <f t="shared" si="51"/>
        <v>检验费</v>
      </c>
    </row>
    <row r="219" spans="1:5">
      <c r="A219" s="1" t="str">
        <f>"糖类抗原测定CA19-9(化学发光法、荧光免疫法)"</f>
        <v>糖类抗原测定CA19-9(化学发光法、荧光免疫法)</v>
      </c>
      <c r="B219" s="1">
        <v>65</v>
      </c>
      <c r="C219" s="1" t="str">
        <f t="shared" si="52"/>
        <v>项</v>
      </c>
      <c r="D219" s="1" t="str">
        <f t="shared" si="53"/>
        <v>项</v>
      </c>
      <c r="E219" s="1" t="str">
        <f t="shared" si="51"/>
        <v>检验费</v>
      </c>
    </row>
    <row r="220" spans="1:5">
      <c r="A220" s="1" t="str">
        <f>"糖类抗原测定CA15-3(化学发光法、荧光免疫法)"</f>
        <v>糖类抗原测定CA15-3(化学发光法、荧光免疫法)</v>
      </c>
      <c r="B220" s="1">
        <v>65</v>
      </c>
      <c r="C220" s="1" t="str">
        <f t="shared" si="52"/>
        <v>项</v>
      </c>
      <c r="D220" s="1" t="str">
        <f t="shared" si="53"/>
        <v>项</v>
      </c>
      <c r="E220" s="1" t="str">
        <f t="shared" si="51"/>
        <v>检验费</v>
      </c>
    </row>
    <row r="221" spans="1:5">
      <c r="A221" s="1" t="str">
        <f>"糖类抗原测定CA72-4(化学发光法、荧光免疫法)"</f>
        <v>糖类抗原测定CA72-4(化学发光法、荧光免疫法)</v>
      </c>
      <c r="B221" s="1">
        <v>65</v>
      </c>
      <c r="C221" s="1" t="str">
        <f t="shared" si="52"/>
        <v>项</v>
      </c>
      <c r="D221" s="1" t="str">
        <f t="shared" si="53"/>
        <v>项</v>
      </c>
      <c r="E221" s="1" t="str">
        <f t="shared" si="51"/>
        <v>检验费</v>
      </c>
    </row>
    <row r="222" spans="1:5">
      <c r="A222" s="1" t="str">
        <f>"铁蛋白测定各种发光法，定量测定"</f>
        <v>铁蛋白测定各种发光法，定量测定</v>
      </c>
      <c r="B222" s="1">
        <v>55</v>
      </c>
      <c r="C222" s="1" t="str">
        <f t="shared" si="52"/>
        <v>项</v>
      </c>
      <c r="D222" s="1" t="str">
        <f t="shared" si="53"/>
        <v>项</v>
      </c>
      <c r="E222" s="1" t="str">
        <f t="shared" si="51"/>
        <v>检验费</v>
      </c>
    </row>
    <row r="223" spans="1:5">
      <c r="A223" s="1" t="str">
        <f>"血清胃蛋白酶原Ⅰ测定酶标法"</f>
        <v>血清胃蛋白酶原Ⅰ测定酶标法</v>
      </c>
      <c r="B223" s="1">
        <v>70</v>
      </c>
      <c r="C223" s="1" t="str">
        <f>"次"</f>
        <v>次</v>
      </c>
      <c r="D223" s="1" t="str">
        <f>"次"</f>
        <v>次</v>
      </c>
      <c r="E223" s="1" t="str">
        <f t="shared" si="51"/>
        <v>检验费</v>
      </c>
    </row>
    <row r="224" spans="1:5">
      <c r="A224" s="1" t="str">
        <f>"血清胃蛋白酶原Ⅱ测定（荧光免疫法）"</f>
        <v>血清胃蛋白酶原Ⅱ测定（荧光免疫法）</v>
      </c>
      <c r="B224" s="1">
        <v>55</v>
      </c>
      <c r="C224" s="1" t="str">
        <f>"次"</f>
        <v>次</v>
      </c>
      <c r="D224" s="1" t="str">
        <f>"次"</f>
        <v>次</v>
      </c>
      <c r="E224" s="1" t="str">
        <f t="shared" si="51"/>
        <v>检验费</v>
      </c>
    </row>
    <row r="225" spans="1:5">
      <c r="A225" s="1" t="str">
        <f>"总IgE测定(各种发光法，定量测定)"</f>
        <v>总IgE测定(各种发光法，定量测定)</v>
      </c>
      <c r="B225" s="1">
        <v>60</v>
      </c>
      <c r="C225" s="1" t="str">
        <f>"-"</f>
        <v>-</v>
      </c>
      <c r="D225" s="1" t="str">
        <f t="shared" ref="D225:D229" si="54">"项"</f>
        <v>项</v>
      </c>
      <c r="E225" s="1" t="str">
        <f t="shared" si="51"/>
        <v>检验费</v>
      </c>
    </row>
    <row r="226" spans="1:5">
      <c r="A226" s="1" t="str">
        <f>"吸入物变应原筛查"</f>
        <v>吸入物变应原筛查</v>
      </c>
      <c r="B226" s="1">
        <v>30</v>
      </c>
      <c r="C226" s="1" t="str">
        <f t="shared" ref="C226:C229" si="55">"项"</f>
        <v>项</v>
      </c>
      <c r="D226" s="1" t="str">
        <f t="shared" si="54"/>
        <v>项</v>
      </c>
      <c r="E226" s="1" t="str">
        <f t="shared" si="51"/>
        <v>检验费</v>
      </c>
    </row>
    <row r="227" spans="1:5">
      <c r="A227" s="1" t="str">
        <f>"食入物变应原筛查"</f>
        <v>食入物变应原筛查</v>
      </c>
      <c r="B227" s="1">
        <v>30</v>
      </c>
      <c r="C227" s="1" t="str">
        <f t="shared" si="55"/>
        <v>项</v>
      </c>
      <c r="D227" s="1" t="str">
        <f t="shared" si="54"/>
        <v>项</v>
      </c>
      <c r="E227" s="1" t="str">
        <f t="shared" si="51"/>
        <v>检验费</v>
      </c>
    </row>
    <row r="228" spans="1:5">
      <c r="A228" s="1" t="str">
        <f>"特殊变应原（多价变应原）筛查各种发光法，定量测定"</f>
        <v>特殊变应原（多价变应原）筛查各种发光法，定量测定</v>
      </c>
      <c r="B228" s="1">
        <v>60</v>
      </c>
      <c r="C228" s="1" t="str">
        <f t="shared" si="55"/>
        <v>项</v>
      </c>
      <c r="D228" s="1" t="str">
        <f t="shared" si="54"/>
        <v>项</v>
      </c>
      <c r="E228" s="1" t="str">
        <f t="shared" si="51"/>
        <v>检验费</v>
      </c>
    </row>
    <row r="229" spans="1:5">
      <c r="A229" s="1" t="str">
        <f>"专项变应原（单价变应原）筛查各种发光法，定量测定"</f>
        <v>专项变应原（单价变应原）筛查各种发光法，定量测定</v>
      </c>
      <c r="B229" s="1">
        <v>60</v>
      </c>
      <c r="C229" s="1" t="str">
        <f t="shared" si="55"/>
        <v>项</v>
      </c>
      <c r="D229" s="1" t="str">
        <f t="shared" si="54"/>
        <v>项</v>
      </c>
      <c r="E229" s="1" t="str">
        <f t="shared" si="51"/>
        <v>检验费</v>
      </c>
    </row>
    <row r="230" spans="1:5">
      <c r="A230" s="1" t="str">
        <f>"细菌培养及鉴定（仪器法）"</f>
        <v>细菌培养及鉴定（仪器法）</v>
      </c>
      <c r="B230" s="1">
        <v>100</v>
      </c>
      <c r="C230" s="1" t="str">
        <f>"-"</f>
        <v>-</v>
      </c>
      <c r="D230" s="1" t="str">
        <f>"次"</f>
        <v>次</v>
      </c>
      <c r="E230" s="1" t="str">
        <f t="shared" si="51"/>
        <v>检验费</v>
      </c>
    </row>
    <row r="231" spans="1:5">
      <c r="A231" s="1" t="str">
        <f>"支原体检查"</f>
        <v>支原体检查</v>
      </c>
      <c r="B231" s="1">
        <v>70</v>
      </c>
      <c r="C231" s="1" t="str">
        <f t="shared" ref="C231:C234" si="56">"项"</f>
        <v>项</v>
      </c>
      <c r="D231" s="1" t="str">
        <f t="shared" ref="D231:D234" si="57">"项"</f>
        <v>项</v>
      </c>
      <c r="E231" s="1" t="str">
        <f t="shared" si="51"/>
        <v>检验费</v>
      </c>
    </row>
    <row r="232" spans="1:5">
      <c r="A232" s="1" t="str">
        <f>"轮状病毒检测（酶联免疫法、金标法）"</f>
        <v>轮状病毒检测（酶联免疫法、金标法）</v>
      </c>
      <c r="B232" s="1">
        <v>45</v>
      </c>
      <c r="C232" s="1" t="str">
        <f t="shared" si="56"/>
        <v>项</v>
      </c>
      <c r="D232" s="1" t="str">
        <f t="shared" si="57"/>
        <v>项</v>
      </c>
      <c r="E232" s="1" t="str">
        <f t="shared" si="51"/>
        <v>检验费</v>
      </c>
    </row>
    <row r="233" spans="1:5">
      <c r="A233" s="1" t="str">
        <f>"血液疟原虫检查"</f>
        <v>血液疟原虫检查</v>
      </c>
      <c r="B233" s="1" t="str">
        <f>"0"</f>
        <v>0</v>
      </c>
      <c r="C233" s="1" t="str">
        <f t="shared" si="56"/>
        <v>项</v>
      </c>
      <c r="D233" s="1" t="str">
        <f t="shared" si="57"/>
        <v>项</v>
      </c>
      <c r="E233" s="1" t="str">
        <f t="shared" si="51"/>
        <v>检验费</v>
      </c>
    </row>
    <row r="234" spans="1:5">
      <c r="A234" s="1" t="str">
        <f>"唐氏综合症筛查"</f>
        <v>唐氏综合症筛查</v>
      </c>
      <c r="B234" s="1" t="str">
        <f>"0"</f>
        <v>0</v>
      </c>
      <c r="C234" s="1" t="str">
        <f t="shared" si="56"/>
        <v>项</v>
      </c>
      <c r="D234" s="1" t="str">
        <f t="shared" si="57"/>
        <v>项</v>
      </c>
      <c r="E234" s="1" t="str">
        <f t="shared" si="51"/>
        <v>检验费</v>
      </c>
    </row>
    <row r="235" spans="1:5">
      <c r="A235" s="1" t="str">
        <f>"唐氏综合症筛查及唐氏综合症风险率计算"</f>
        <v>唐氏综合症筛查及唐氏综合症风险率计算</v>
      </c>
      <c r="B235" s="1">
        <v>110</v>
      </c>
      <c r="C235" s="1" t="str">
        <f t="shared" ref="C235:C238" si="58">"次"</f>
        <v>次</v>
      </c>
      <c r="D235" s="1" t="str">
        <f t="shared" ref="D235:D238" si="59">"次"</f>
        <v>次</v>
      </c>
      <c r="E235" s="1" t="str">
        <f t="shared" si="51"/>
        <v>检验费</v>
      </c>
    </row>
    <row r="236" spans="1:5">
      <c r="A236" s="1" t="str">
        <f>"ABO红细胞定型"</f>
        <v>ABO红细胞定型</v>
      </c>
      <c r="B236" s="1">
        <v>5</v>
      </c>
      <c r="C236" s="1" t="str">
        <f>"-"</f>
        <v>-</v>
      </c>
      <c r="D236" s="1" t="str">
        <f t="shared" si="59"/>
        <v>次</v>
      </c>
      <c r="E236" s="1" t="str">
        <f t="shared" si="51"/>
        <v>检验费</v>
      </c>
    </row>
    <row r="237" spans="1:5">
      <c r="A237" s="1" t="str">
        <f>"Rh血型鉴定"</f>
        <v>Rh血型鉴定</v>
      </c>
      <c r="B237" s="1">
        <v>10</v>
      </c>
      <c r="C237" s="1" t="str">
        <f t="shared" si="58"/>
        <v>次</v>
      </c>
      <c r="D237" s="1" t="str">
        <f t="shared" si="59"/>
        <v>次</v>
      </c>
      <c r="E237" s="1" t="str">
        <f t="shared" si="51"/>
        <v>检验费</v>
      </c>
    </row>
    <row r="238" spans="1:5">
      <c r="A238" s="1" t="str">
        <f>"Rh血型其他抗原鉴定"</f>
        <v>Rh血型其他抗原鉴定</v>
      </c>
      <c r="B238" s="1">
        <v>10</v>
      </c>
      <c r="C238" s="1" t="str">
        <f t="shared" si="58"/>
        <v>次</v>
      </c>
      <c r="D238" s="1" t="str">
        <f t="shared" si="59"/>
        <v>次</v>
      </c>
      <c r="E238" s="1" t="str">
        <f t="shared" si="51"/>
        <v>检验费</v>
      </c>
    </row>
    <row r="239" spans="1:5">
      <c r="A239" s="1" t="str">
        <f>"脱落细胞学检查与诊断"</f>
        <v>脱落细胞学检查与诊断</v>
      </c>
      <c r="B239" s="1">
        <v>39</v>
      </c>
      <c r="C239" s="1" t="str">
        <f>"例"</f>
        <v>例</v>
      </c>
      <c r="D239" s="1" t="str">
        <f>"例"</f>
        <v>例</v>
      </c>
      <c r="E239" s="1" t="str">
        <f t="shared" ref="E239:E241" si="60">"病理检查"</f>
        <v>病理检查</v>
      </c>
    </row>
    <row r="240" spans="1:5">
      <c r="A240" s="1" t="str">
        <f>"局部切除组织活检检查与诊断"</f>
        <v>局部切除组织活检检查与诊断</v>
      </c>
      <c r="B240" s="1">
        <v>78</v>
      </c>
      <c r="C240" s="1" t="str">
        <f>"每个部位"</f>
        <v>每个部位</v>
      </c>
      <c r="D240" s="1" t="str">
        <f>"每个部位"</f>
        <v>每个部位</v>
      </c>
      <c r="E240" s="1" t="str">
        <f t="shared" si="60"/>
        <v>病理检查</v>
      </c>
    </row>
    <row r="241" spans="1:5">
      <c r="A241" s="1" t="str">
        <f>"液基薄层细胞制片术(TCT)"</f>
        <v>液基薄层细胞制片术(TCT)</v>
      </c>
      <c r="B241" s="1">
        <v>150</v>
      </c>
      <c r="C241" s="1" t="str">
        <f>"-"</f>
        <v>-</v>
      </c>
      <c r="D241" s="1" t="str">
        <f>"次"</f>
        <v>次</v>
      </c>
      <c r="E241" s="1" t="str">
        <f t="shared" si="60"/>
        <v>病理检查</v>
      </c>
    </row>
    <row r="242" spans="1:5">
      <c r="A242" s="1" t="str">
        <f>"感觉阈值测量"</f>
        <v>感觉阈值测量</v>
      </c>
      <c r="B242" s="1">
        <v>26</v>
      </c>
      <c r="C242" s="1" t="str">
        <f>"-"</f>
        <v>-</v>
      </c>
      <c r="D242" s="1" t="str">
        <f>"次"</f>
        <v>次</v>
      </c>
      <c r="E242" s="1" t="str">
        <f>"检查费"</f>
        <v>检查费</v>
      </c>
    </row>
    <row r="243" spans="1:5">
      <c r="A243" s="1" t="str">
        <f>"单纤维肌电图"</f>
        <v>单纤维肌电图</v>
      </c>
      <c r="B243" s="1">
        <v>65</v>
      </c>
      <c r="C243" s="1">
        <v>1</v>
      </c>
      <c r="D243" s="1" t="str">
        <f>"每根"</f>
        <v>每根</v>
      </c>
      <c r="E243" s="1" t="str">
        <f>"检查费"</f>
        <v>检查费</v>
      </c>
    </row>
    <row r="244" spans="1:5">
      <c r="A244" s="1" t="str">
        <f>"绒毛膜促性腺激素(HCG)"</f>
        <v>绒毛膜促性腺激素(HCG)</v>
      </c>
      <c r="B244" s="1">
        <v>52</v>
      </c>
      <c r="C244" s="1" t="str">
        <f t="shared" ref="C244:C257" si="61">"次"</f>
        <v>次</v>
      </c>
      <c r="D244" s="1" t="str">
        <f>"次"</f>
        <v>次</v>
      </c>
      <c r="E244" s="1" t="str">
        <f>"检验费"</f>
        <v>检验费</v>
      </c>
    </row>
    <row r="245" spans="1:5">
      <c r="A245" s="1" t="str">
        <f>"普通视力检查"</f>
        <v>普通视力检查</v>
      </c>
      <c r="B245" s="1">
        <v>5</v>
      </c>
      <c r="C245" s="1" t="str">
        <f t="shared" si="61"/>
        <v>次</v>
      </c>
      <c r="D245" s="1" t="str">
        <f>"次"</f>
        <v>次</v>
      </c>
      <c r="E245" s="1" t="str">
        <f t="shared" ref="E244:E252" si="62">"检查费"</f>
        <v>检查费</v>
      </c>
    </row>
    <row r="246" spans="1:5">
      <c r="A246" s="1" t="str">
        <f>"特殊视力检查"</f>
        <v>特殊视力检查</v>
      </c>
      <c r="B246" s="1">
        <v>3.9</v>
      </c>
      <c r="C246" s="1" t="str">
        <f>"项"</f>
        <v>项</v>
      </c>
      <c r="D246" s="1" t="str">
        <f>"项"</f>
        <v>项</v>
      </c>
      <c r="E246" s="1" t="str">
        <f t="shared" si="62"/>
        <v>检查费</v>
      </c>
    </row>
    <row r="247" spans="1:5">
      <c r="A247" s="1" t="str">
        <f>"选择性观看检查"</f>
        <v>选择性观看检查</v>
      </c>
      <c r="B247" s="1">
        <v>20</v>
      </c>
      <c r="C247" s="1" t="str">
        <f t="shared" si="61"/>
        <v>次</v>
      </c>
      <c r="D247" s="1" t="str">
        <f t="shared" ref="D247:D249" si="63">"次"</f>
        <v>次</v>
      </c>
      <c r="E247" s="1" t="str">
        <f t="shared" si="62"/>
        <v>检查费</v>
      </c>
    </row>
    <row r="248" spans="1:5">
      <c r="A248" s="1" t="str">
        <f>"视网膜视力检查"</f>
        <v>视网膜视力检查</v>
      </c>
      <c r="B248" s="1">
        <v>26</v>
      </c>
      <c r="C248" s="1" t="str">
        <f t="shared" si="61"/>
        <v>次</v>
      </c>
      <c r="D248" s="1" t="str">
        <f t="shared" si="63"/>
        <v>次</v>
      </c>
      <c r="E248" s="1" t="str">
        <f t="shared" si="62"/>
        <v>检查费</v>
      </c>
    </row>
    <row r="249" spans="1:5">
      <c r="A249" s="1" t="str">
        <f>"斜视度测定"</f>
        <v>斜视度测定</v>
      </c>
      <c r="B249" s="1">
        <v>18</v>
      </c>
      <c r="C249" s="1" t="str">
        <f t="shared" si="61"/>
        <v>次</v>
      </c>
      <c r="D249" s="1" t="str">
        <f t="shared" si="63"/>
        <v>次</v>
      </c>
      <c r="E249" s="1" t="str">
        <f t="shared" si="62"/>
        <v>检查费</v>
      </c>
    </row>
    <row r="250" spans="1:5">
      <c r="A250" s="1" t="str">
        <f>"双眼视觉检查"</f>
        <v>双眼视觉检查</v>
      </c>
      <c r="B250" s="1">
        <v>13</v>
      </c>
      <c r="C250" s="1" t="str">
        <f t="shared" si="61"/>
        <v>次</v>
      </c>
      <c r="D250" s="1" t="str">
        <f>"次(双眼)"</f>
        <v>次(双眼)</v>
      </c>
      <c r="E250" s="1" t="str">
        <f t="shared" si="62"/>
        <v>检查费</v>
      </c>
    </row>
    <row r="251" spans="1:5">
      <c r="A251" s="1" t="str">
        <f>"色觉检查"</f>
        <v>色觉检查</v>
      </c>
      <c r="B251" s="1">
        <v>6.5</v>
      </c>
      <c r="C251" s="1" t="str">
        <f t="shared" si="61"/>
        <v>次</v>
      </c>
      <c r="D251" s="1" t="str">
        <f t="shared" ref="D251:D257" si="64">"次"</f>
        <v>次</v>
      </c>
      <c r="E251" s="1" t="str">
        <f t="shared" si="62"/>
        <v>检查费</v>
      </c>
    </row>
    <row r="252" spans="1:5">
      <c r="A252" s="1" t="str">
        <f>"上睑下垂检查"</f>
        <v>上睑下垂检查</v>
      </c>
      <c r="B252" s="1">
        <v>7</v>
      </c>
      <c r="C252" s="1" t="str">
        <f t="shared" si="61"/>
        <v>次</v>
      </c>
      <c r="D252" s="1" t="str">
        <f t="shared" si="64"/>
        <v>次</v>
      </c>
      <c r="E252" s="1" t="str">
        <f t="shared" si="62"/>
        <v>检查费</v>
      </c>
    </row>
    <row r="253" spans="1:5">
      <c r="A253" s="1" t="str">
        <f>"泪道冲洗"</f>
        <v>泪道冲洗</v>
      </c>
      <c r="B253" s="1">
        <v>3.9</v>
      </c>
      <c r="C253" s="1" t="str">
        <f t="shared" si="61"/>
        <v>次</v>
      </c>
      <c r="D253" s="1" t="str">
        <f>"次(双眼)"</f>
        <v>次(双眼)</v>
      </c>
      <c r="E253" s="1" t="str">
        <f>"治疗费"</f>
        <v>治疗费</v>
      </c>
    </row>
    <row r="254" spans="1:5">
      <c r="A254" s="1" t="str">
        <f>"角膜知觉检查"</f>
        <v>角膜知觉检查</v>
      </c>
      <c r="B254" s="1">
        <v>13</v>
      </c>
      <c r="C254" s="1" t="str">
        <f t="shared" si="61"/>
        <v>次</v>
      </c>
      <c r="D254" s="1" t="str">
        <f t="shared" si="64"/>
        <v>次</v>
      </c>
      <c r="E254" s="1" t="str">
        <f t="shared" ref="E254:E260" si="65">"检查费"</f>
        <v>检查费</v>
      </c>
    </row>
    <row r="255" spans="1:5">
      <c r="A255" s="1" t="str">
        <f>"前房深度测量"</f>
        <v>前房深度测量</v>
      </c>
      <c r="B255" s="1">
        <v>35</v>
      </c>
      <c r="C255" s="1" t="str">
        <f t="shared" si="61"/>
        <v>次</v>
      </c>
      <c r="D255" s="1" t="str">
        <f t="shared" si="64"/>
        <v>次</v>
      </c>
      <c r="E255" s="1" t="str">
        <f>"治疗费"</f>
        <v>治疗费</v>
      </c>
    </row>
    <row r="256" spans="1:5">
      <c r="A256" s="1" t="str">
        <f>"眼底检查（前置镜）"</f>
        <v>眼底检查（前置镜）</v>
      </c>
      <c r="B256" s="1">
        <v>13</v>
      </c>
      <c r="C256" s="1" t="str">
        <f t="shared" si="61"/>
        <v>次</v>
      </c>
      <c r="D256" s="1" t="str">
        <f t="shared" si="64"/>
        <v>次</v>
      </c>
      <c r="E256" s="1" t="str">
        <f t="shared" si="65"/>
        <v>检查费</v>
      </c>
    </row>
    <row r="257" spans="1:5">
      <c r="A257" s="1" t="str">
        <f>"眼位照相"</f>
        <v>眼位照相</v>
      </c>
      <c r="B257" s="1">
        <v>26</v>
      </c>
      <c r="C257" s="1" t="str">
        <f t="shared" si="61"/>
        <v>次</v>
      </c>
      <c r="D257" s="1" t="str">
        <f t="shared" si="64"/>
        <v>次</v>
      </c>
      <c r="E257" s="1" t="str">
        <f t="shared" si="65"/>
        <v>检查费</v>
      </c>
    </row>
    <row r="258" spans="1:5">
      <c r="A258" s="1" t="str">
        <f>"眼前段照相"</f>
        <v>眼前段照相</v>
      </c>
      <c r="B258" s="1">
        <v>20</v>
      </c>
      <c r="C258" s="1" t="str">
        <f>"项"</f>
        <v>项</v>
      </c>
      <c r="D258" s="1" t="str">
        <f>"项"</f>
        <v>项</v>
      </c>
      <c r="E258" s="1" t="str">
        <f t="shared" si="65"/>
        <v>检查费</v>
      </c>
    </row>
    <row r="259" spans="1:5">
      <c r="A259" s="1" t="str">
        <f>"眼底照相"</f>
        <v>眼底照相</v>
      </c>
      <c r="B259" s="1">
        <v>35</v>
      </c>
      <c r="C259" s="1" t="str">
        <f t="shared" ref="C259:C267" si="66">"次"</f>
        <v>次</v>
      </c>
      <c r="D259" s="1" t="str">
        <f t="shared" ref="D259:D275" si="67">"次"</f>
        <v>次</v>
      </c>
      <c r="E259" s="1" t="str">
        <f t="shared" si="65"/>
        <v>检查费</v>
      </c>
    </row>
    <row r="260" spans="1:5">
      <c r="A260" s="1" t="str">
        <f>"眼外肌功能检查"</f>
        <v>眼外肌功能检查</v>
      </c>
      <c r="B260" s="1">
        <v>6.5</v>
      </c>
      <c r="C260" s="1" t="str">
        <f t="shared" si="66"/>
        <v>次</v>
      </c>
      <c r="D260" s="1" t="str">
        <f t="shared" si="67"/>
        <v>次</v>
      </c>
      <c r="E260" s="1" t="str">
        <f t="shared" si="65"/>
        <v>检查费</v>
      </c>
    </row>
    <row r="261" spans="1:5">
      <c r="A261" s="1" t="str">
        <f>"电解倒睫"</f>
        <v>电解倒睫</v>
      </c>
      <c r="B261" s="1">
        <v>13</v>
      </c>
      <c r="C261" s="1" t="str">
        <f t="shared" si="66"/>
        <v>次</v>
      </c>
      <c r="D261" s="1" t="str">
        <f t="shared" si="67"/>
        <v>次</v>
      </c>
      <c r="E261" s="1" t="str">
        <f t="shared" ref="E261:E266" si="68">"治疗费"</f>
        <v>治疗费</v>
      </c>
    </row>
    <row r="262" spans="1:5">
      <c r="A262" s="1" t="str">
        <f>"取结膜结石"</f>
        <v>取结膜结石</v>
      </c>
      <c r="B262" s="1">
        <v>13</v>
      </c>
      <c r="C262" s="1" t="str">
        <f t="shared" si="66"/>
        <v>次</v>
      </c>
      <c r="D262" s="1" t="str">
        <f t="shared" si="67"/>
        <v>次</v>
      </c>
      <c r="E262" s="1" t="str">
        <f t="shared" si="68"/>
        <v>治疗费</v>
      </c>
    </row>
    <row r="263" spans="1:5">
      <c r="A263" s="1" t="str">
        <f>"眼部脓肿切开引流术"</f>
        <v>眼部脓肿切开引流术</v>
      </c>
      <c r="B263" s="1">
        <v>65</v>
      </c>
      <c r="C263" s="1" t="str">
        <f t="shared" si="66"/>
        <v>次</v>
      </c>
      <c r="D263" s="1" t="str">
        <f t="shared" si="67"/>
        <v>次</v>
      </c>
      <c r="E263" s="1" t="str">
        <f t="shared" si="68"/>
        <v>治疗费</v>
      </c>
    </row>
    <row r="264" spans="1:5">
      <c r="A264" s="1" t="str">
        <f>"角膜异物剔除术"</f>
        <v>角膜异物剔除术</v>
      </c>
      <c r="B264" s="1">
        <v>26</v>
      </c>
      <c r="C264" s="1" t="str">
        <f t="shared" si="66"/>
        <v>次</v>
      </c>
      <c r="D264" s="1" t="str">
        <f t="shared" si="67"/>
        <v>次</v>
      </c>
      <c r="E264" s="1" t="str">
        <f t="shared" si="68"/>
        <v>治疗费</v>
      </c>
    </row>
    <row r="265" spans="1:5">
      <c r="A265" s="1" t="str">
        <f>"泪小点扩张"</f>
        <v>泪小点扩张</v>
      </c>
      <c r="B265" s="1">
        <v>13</v>
      </c>
      <c r="C265" s="1" t="str">
        <f t="shared" si="66"/>
        <v>次</v>
      </c>
      <c r="D265" s="1" t="str">
        <f t="shared" si="67"/>
        <v>次</v>
      </c>
      <c r="E265" s="1" t="str">
        <f t="shared" si="68"/>
        <v>治疗费</v>
      </c>
    </row>
    <row r="266" spans="1:5">
      <c r="A266" s="1" t="str">
        <f>"泪道探通术"</f>
        <v>泪道探通术</v>
      </c>
      <c r="B266" s="1">
        <v>13</v>
      </c>
      <c r="C266" s="1" t="str">
        <f t="shared" si="66"/>
        <v>次</v>
      </c>
      <c r="D266" s="1" t="str">
        <f t="shared" si="67"/>
        <v>次</v>
      </c>
      <c r="E266" s="1" t="str">
        <f t="shared" si="68"/>
        <v>治疗费</v>
      </c>
    </row>
    <row r="267" spans="1:5">
      <c r="A267" s="1" t="str">
        <f>"耳声发射检查"</f>
        <v>耳声发射检查</v>
      </c>
      <c r="B267" s="1">
        <v>130</v>
      </c>
      <c r="C267" s="1" t="str">
        <f t="shared" si="66"/>
        <v>次</v>
      </c>
      <c r="D267" s="1" t="str">
        <f t="shared" si="67"/>
        <v>次</v>
      </c>
      <c r="E267" s="1" t="str">
        <f>"检查费"</f>
        <v>检查费</v>
      </c>
    </row>
    <row r="268" spans="1:5">
      <c r="A268" s="1" t="str">
        <f>"耵聍冲洗"</f>
        <v>耵聍冲洗</v>
      </c>
      <c r="B268" s="1">
        <v>3.9</v>
      </c>
      <c r="C268" s="1" t="str">
        <f>"-"</f>
        <v>-</v>
      </c>
      <c r="D268" s="1" t="str">
        <f t="shared" si="67"/>
        <v>次</v>
      </c>
      <c r="E268" s="1" t="str">
        <f t="shared" ref="E268:E273" si="69">"治疗费"</f>
        <v>治疗费</v>
      </c>
    </row>
    <row r="269" spans="1:5">
      <c r="A269" s="1" t="str">
        <f>"鼻内镜检查"</f>
        <v>鼻内镜检查</v>
      </c>
      <c r="B269" s="1">
        <v>6.5</v>
      </c>
      <c r="C269" s="1" t="str">
        <f t="shared" ref="C269:C276" si="70">"次"</f>
        <v>次</v>
      </c>
      <c r="D269" s="1" t="str">
        <f t="shared" si="67"/>
        <v>次</v>
      </c>
      <c r="E269" s="1" t="str">
        <f>"检查费"</f>
        <v>检查费</v>
      </c>
    </row>
    <row r="270" spans="1:5">
      <c r="A270" s="1" t="str">
        <f>"嗅觉功能检测"</f>
        <v>嗅觉功能检测</v>
      </c>
      <c r="B270" s="1">
        <v>20</v>
      </c>
      <c r="C270" s="1" t="str">
        <f t="shared" si="70"/>
        <v>次</v>
      </c>
      <c r="D270" s="1" t="str">
        <f t="shared" si="67"/>
        <v>次</v>
      </c>
      <c r="E270" s="1" t="str">
        <f t="shared" si="69"/>
        <v>治疗费</v>
      </c>
    </row>
    <row r="271" spans="1:5">
      <c r="A271" s="1" t="str">
        <f>"前鼻孔填塞"</f>
        <v>前鼻孔填塞</v>
      </c>
      <c r="B271" s="1">
        <v>33</v>
      </c>
      <c r="C271" s="1" t="str">
        <f t="shared" si="70"/>
        <v>次</v>
      </c>
      <c r="D271" s="1" t="str">
        <f t="shared" si="67"/>
        <v>次</v>
      </c>
      <c r="E271" s="1" t="str">
        <f t="shared" si="69"/>
        <v>治疗费</v>
      </c>
    </row>
    <row r="272" spans="1:5">
      <c r="A272" s="1" t="str">
        <f>"鼻异物取出"</f>
        <v>鼻异物取出</v>
      </c>
      <c r="B272" s="1">
        <v>20</v>
      </c>
      <c r="C272" s="1" t="str">
        <f t="shared" si="70"/>
        <v>次</v>
      </c>
      <c r="D272" s="1" t="str">
        <f t="shared" si="67"/>
        <v>次</v>
      </c>
      <c r="E272" s="1" t="str">
        <f t="shared" si="69"/>
        <v>治疗费</v>
      </c>
    </row>
    <row r="273" spans="1:5">
      <c r="A273" s="1" t="str">
        <f>"鼻部特殊治疗"</f>
        <v>鼻部特殊治疗</v>
      </c>
      <c r="B273" s="1">
        <v>33</v>
      </c>
      <c r="C273" s="1" t="str">
        <f t="shared" si="70"/>
        <v>次</v>
      </c>
      <c r="D273" s="1" t="str">
        <f t="shared" si="67"/>
        <v>次</v>
      </c>
      <c r="E273" s="1" t="str">
        <f t="shared" si="69"/>
        <v>治疗费</v>
      </c>
    </row>
    <row r="274" spans="1:5">
      <c r="A274" s="1" t="str">
        <f>"间接喉镜检查"</f>
        <v>间接喉镜检查</v>
      </c>
      <c r="B274" s="1">
        <v>7.8</v>
      </c>
      <c r="C274" s="1" t="str">
        <f t="shared" si="70"/>
        <v>次</v>
      </c>
      <c r="D274" s="1" t="str">
        <f t="shared" si="67"/>
        <v>次</v>
      </c>
      <c r="E274" s="1" t="str">
        <f t="shared" ref="E274:E280" si="71">"检查费"</f>
        <v>检查费</v>
      </c>
    </row>
    <row r="275" spans="1:5">
      <c r="A275" s="1" t="str">
        <f>"咽部特殊治疗(口咽异物取出术)"</f>
        <v>咽部特殊治疗(口咽异物取出术)</v>
      </c>
      <c r="B275" s="1">
        <v>13</v>
      </c>
      <c r="C275" s="1" t="str">
        <f t="shared" si="70"/>
        <v>次</v>
      </c>
      <c r="D275" s="1" t="str">
        <f t="shared" si="67"/>
        <v>次</v>
      </c>
      <c r="E275" s="1" t="str">
        <f>"治疗费"</f>
        <v>治疗费</v>
      </c>
    </row>
    <row r="276" spans="1:5">
      <c r="A276" s="1" t="str">
        <f>"咽部特殊治疗（喉咽部异物取出）"</f>
        <v>咽部特殊治疗（喉咽部异物取出）</v>
      </c>
      <c r="B276" s="1">
        <v>39</v>
      </c>
      <c r="C276" s="1" t="str">
        <f t="shared" si="70"/>
        <v>次</v>
      </c>
      <c r="D276" s="1" t="str">
        <f>"每次"</f>
        <v>每次</v>
      </c>
      <c r="E276" s="1" t="str">
        <f>"治疗费"</f>
        <v>治疗费</v>
      </c>
    </row>
    <row r="277" spans="1:5">
      <c r="A277" s="1" t="str">
        <f>"全口牙病系统检查与治疗设计"</f>
        <v>全口牙病系统检查与治疗设计</v>
      </c>
      <c r="B277" s="1">
        <v>12</v>
      </c>
      <c r="C277" s="1" t="str">
        <f>"-"</f>
        <v>-</v>
      </c>
      <c r="D277" s="1" t="str">
        <f t="shared" ref="D277:D286" si="72">"次"</f>
        <v>次</v>
      </c>
      <c r="E277" s="1" t="str">
        <f t="shared" si="71"/>
        <v>检查费</v>
      </c>
    </row>
    <row r="278" spans="1:5">
      <c r="A278" s="1" t="str">
        <f>"全口牙病系统检查与治疗设计（签约）"</f>
        <v>全口牙病系统检查与治疗设计（签约）</v>
      </c>
      <c r="B278" s="1">
        <v>11</v>
      </c>
      <c r="C278" s="1" t="str">
        <f t="shared" ref="C278:C280" si="73">"次"</f>
        <v>次</v>
      </c>
      <c r="D278" s="1" t="str">
        <f t="shared" si="72"/>
        <v>次</v>
      </c>
      <c r="E278" s="1" t="str">
        <f t="shared" si="71"/>
        <v>检查费</v>
      </c>
    </row>
    <row r="279" spans="1:5">
      <c r="A279" s="1" t="str">
        <f>"咬合检查"</f>
        <v>咬合检查</v>
      </c>
      <c r="B279" s="1">
        <v>2.4</v>
      </c>
      <c r="C279" s="1" t="str">
        <f t="shared" si="73"/>
        <v>次</v>
      </c>
      <c r="D279" s="1" t="str">
        <f t="shared" si="72"/>
        <v>次</v>
      </c>
      <c r="E279" s="1" t="str">
        <f t="shared" si="71"/>
        <v>检查费</v>
      </c>
    </row>
    <row r="280" spans="1:5">
      <c r="A280" s="1" t="str">
        <f>"咬合检查（签约）"</f>
        <v>咬合检查（签约）</v>
      </c>
      <c r="B280" s="1">
        <v>2</v>
      </c>
      <c r="C280" s="1" t="str">
        <f t="shared" si="73"/>
        <v>次</v>
      </c>
      <c r="D280" s="1" t="str">
        <f t="shared" si="72"/>
        <v>次</v>
      </c>
      <c r="E280" s="1" t="str">
        <f t="shared" si="71"/>
        <v>检查费</v>
      </c>
    </row>
    <row r="281" spans="1:5">
      <c r="A281" s="1" t="str">
        <f>"颌力测量检查"</f>
        <v>颌力测量检查</v>
      </c>
      <c r="B281" s="1">
        <v>12</v>
      </c>
      <c r="C281" s="1" t="str">
        <f>"-"</f>
        <v>-</v>
      </c>
      <c r="D281" s="1" t="str">
        <f t="shared" si="72"/>
        <v>次</v>
      </c>
      <c r="E281" s="1" t="str">
        <f>"治疗费"</f>
        <v>治疗费</v>
      </c>
    </row>
    <row r="282" spans="1:5">
      <c r="A282" s="1" t="str">
        <f>"咀嚼功能检查"</f>
        <v>咀嚼功能检查</v>
      </c>
      <c r="B282" s="1">
        <v>6</v>
      </c>
      <c r="C282" s="1" t="str">
        <f t="shared" ref="C282:C286" si="74">"次"</f>
        <v>次</v>
      </c>
      <c r="D282" s="1" t="str">
        <f t="shared" si="72"/>
        <v>次</v>
      </c>
      <c r="E282" s="1" t="str">
        <f t="shared" ref="E282:E285" si="75">"检查费"</f>
        <v>检查费</v>
      </c>
    </row>
    <row r="283" spans="1:5">
      <c r="A283" s="1" t="str">
        <f>"咀嚼功能检查（签约）"</f>
        <v>咀嚼功能检查（签约）</v>
      </c>
      <c r="B283" s="1">
        <v>5</v>
      </c>
      <c r="C283" s="1" t="str">
        <f t="shared" si="74"/>
        <v>次</v>
      </c>
      <c r="D283" s="1" t="str">
        <f t="shared" si="72"/>
        <v>次</v>
      </c>
      <c r="E283" s="1" t="str">
        <f t="shared" si="75"/>
        <v>检查费</v>
      </c>
    </row>
    <row r="284" spans="1:5">
      <c r="A284" s="1" t="str">
        <f>"下颌运动检查"</f>
        <v>下颌运动检查</v>
      </c>
      <c r="B284" s="1">
        <v>3.6</v>
      </c>
      <c r="C284" s="1" t="str">
        <f t="shared" si="74"/>
        <v>次</v>
      </c>
      <c r="D284" s="1" t="str">
        <f t="shared" si="72"/>
        <v>次</v>
      </c>
      <c r="E284" s="1" t="str">
        <f t="shared" si="75"/>
        <v>检查费</v>
      </c>
    </row>
    <row r="285" spans="1:5">
      <c r="A285" s="1" t="str">
        <f>"下颌运动检查（签约）"</f>
        <v>下颌运动检查（签约）</v>
      </c>
      <c r="B285" s="1">
        <v>3</v>
      </c>
      <c r="C285" s="1" t="str">
        <f t="shared" si="74"/>
        <v>次</v>
      </c>
      <c r="D285" s="1" t="str">
        <f t="shared" si="72"/>
        <v>次</v>
      </c>
      <c r="E285" s="1" t="str">
        <f t="shared" si="75"/>
        <v>检查费</v>
      </c>
    </row>
    <row r="286" spans="1:5">
      <c r="A286" s="1" t="str">
        <f>"唾液流量测定"</f>
        <v>唾液流量测定</v>
      </c>
      <c r="B286" s="1">
        <v>6</v>
      </c>
      <c r="C286" s="1" t="str">
        <f t="shared" si="74"/>
        <v>次</v>
      </c>
      <c r="D286" s="1" t="str">
        <f t="shared" si="72"/>
        <v>次</v>
      </c>
      <c r="E286" s="1" t="str">
        <f>"治疗费"</f>
        <v>治疗费</v>
      </c>
    </row>
    <row r="287" spans="1:5">
      <c r="A287" s="1" t="str">
        <f>"口腔模型制备"</f>
        <v>口腔模型制备</v>
      </c>
      <c r="B287" s="1">
        <v>24</v>
      </c>
      <c r="C287" s="1" t="str">
        <f>"单颌"</f>
        <v>单颌</v>
      </c>
      <c r="D287" s="1" t="str">
        <f>"单颌"</f>
        <v>单颌</v>
      </c>
      <c r="E287" s="1" t="str">
        <f>"治疗费"</f>
        <v>治疗费</v>
      </c>
    </row>
    <row r="288" spans="1:5">
      <c r="A288" s="1" t="str">
        <f>"口腔内镜检查"</f>
        <v>口腔内镜检查</v>
      </c>
      <c r="B288" s="1">
        <v>12</v>
      </c>
      <c r="C288" s="1" t="str">
        <f>"-"</f>
        <v>-</v>
      </c>
      <c r="D288" s="1" t="str">
        <f t="shared" ref="D288:D291" si="76">"每牙"</f>
        <v>每牙</v>
      </c>
      <c r="E288" s="1" t="str">
        <f t="shared" ref="E288:E295" si="77">"检查费"</f>
        <v>检查费</v>
      </c>
    </row>
    <row r="289" spans="1:5">
      <c r="A289" s="1" t="str">
        <f>"口腔内镜检查（签约）"</f>
        <v>口腔内镜检查（签约）</v>
      </c>
      <c r="B289" s="1">
        <v>11</v>
      </c>
      <c r="C289" s="1" t="str">
        <f t="shared" ref="C289:C291" si="78">"每牙"</f>
        <v>每牙</v>
      </c>
      <c r="D289" s="1" t="str">
        <f t="shared" si="76"/>
        <v>每牙</v>
      </c>
      <c r="E289" s="1" t="str">
        <f t="shared" si="77"/>
        <v>检查费</v>
      </c>
    </row>
    <row r="290" spans="1:5">
      <c r="A290" s="1" t="str">
        <f>"牙髓活力检查"</f>
        <v>牙髓活力检查</v>
      </c>
      <c r="B290" s="1">
        <v>2.4</v>
      </c>
      <c r="C290" s="1" t="str">
        <f t="shared" si="78"/>
        <v>每牙</v>
      </c>
      <c r="D290" s="1" t="str">
        <f t="shared" si="76"/>
        <v>每牙</v>
      </c>
      <c r="E290" s="1" t="str">
        <f t="shared" si="77"/>
        <v>检查费</v>
      </c>
    </row>
    <row r="291" spans="1:5">
      <c r="A291" s="1" t="str">
        <f>"牙髓活力检查（签约）"</f>
        <v>牙髓活力检查（签约）</v>
      </c>
      <c r="B291" s="1">
        <v>2</v>
      </c>
      <c r="C291" s="1" t="str">
        <f t="shared" si="78"/>
        <v>每牙</v>
      </c>
      <c r="D291" s="1" t="str">
        <f t="shared" si="76"/>
        <v>每牙</v>
      </c>
      <c r="E291" s="1" t="str">
        <f t="shared" si="77"/>
        <v>检查费</v>
      </c>
    </row>
    <row r="292" spans="1:5">
      <c r="A292" s="1" t="str">
        <f>"根管长度测量"</f>
        <v>根管长度测量</v>
      </c>
      <c r="B292" s="1">
        <v>4.8</v>
      </c>
      <c r="C292" s="1" t="str">
        <f>"每根管"</f>
        <v>每根管</v>
      </c>
      <c r="D292" s="1" t="str">
        <f>"每根管"</f>
        <v>每根管</v>
      </c>
      <c r="E292" s="1" t="str">
        <f t="shared" si="77"/>
        <v>检查费</v>
      </c>
    </row>
    <row r="293" spans="1:5">
      <c r="A293" s="1" t="str">
        <f>"龈沟液量测定"</f>
        <v>龈沟液量测定</v>
      </c>
      <c r="B293" s="1">
        <v>1.2</v>
      </c>
      <c r="C293" s="1" t="str">
        <f t="shared" ref="C293:C295" si="79">"次"</f>
        <v>次</v>
      </c>
      <c r="D293" s="1" t="str">
        <f t="shared" ref="D293:D295" si="80">"次"</f>
        <v>次</v>
      </c>
      <c r="E293" s="1" t="str">
        <f t="shared" si="77"/>
        <v>检查费</v>
      </c>
    </row>
    <row r="294" spans="1:5">
      <c r="A294" s="1" t="str">
        <f>"咬合动度测定"</f>
        <v>咬合动度测定</v>
      </c>
      <c r="B294" s="1">
        <v>2.4</v>
      </c>
      <c r="C294" s="1" t="str">
        <f t="shared" si="79"/>
        <v>次</v>
      </c>
      <c r="D294" s="1" t="str">
        <f t="shared" si="80"/>
        <v>次</v>
      </c>
      <c r="E294" s="1" t="str">
        <f t="shared" si="77"/>
        <v>检查费</v>
      </c>
    </row>
    <row r="295" spans="1:5">
      <c r="A295" s="1" t="str">
        <f>"咬合动度测定（签约）"</f>
        <v>咬合动度测定（签约）</v>
      </c>
      <c r="B295" s="1">
        <v>2</v>
      </c>
      <c r="C295" s="1" t="str">
        <f t="shared" si="79"/>
        <v>次</v>
      </c>
      <c r="D295" s="1" t="str">
        <f t="shared" si="80"/>
        <v>次</v>
      </c>
      <c r="E295" s="1" t="str">
        <f t="shared" si="77"/>
        <v>检查费</v>
      </c>
    </row>
    <row r="296" spans="1:5">
      <c r="A296" s="1" t="str">
        <f>"唇弓制备"</f>
        <v>唇弓制备</v>
      </c>
      <c r="B296" s="1">
        <v>18</v>
      </c>
      <c r="C296" s="1" t="str">
        <f>"-"</f>
        <v>-</v>
      </c>
      <c r="D296" s="1" t="str">
        <f>"根"</f>
        <v>根</v>
      </c>
      <c r="E296" s="1" t="str">
        <f t="shared" ref="E296:E310" si="81">"治疗费"</f>
        <v>治疗费</v>
      </c>
    </row>
    <row r="297" spans="1:5">
      <c r="A297" s="1" t="str">
        <f>"导板制备"</f>
        <v>导板制备</v>
      </c>
      <c r="B297" s="1">
        <v>144</v>
      </c>
      <c r="C297" s="1" t="str">
        <f>"每个"</f>
        <v>每个</v>
      </c>
      <c r="D297" s="1" t="str">
        <f>"个"</f>
        <v>个</v>
      </c>
      <c r="E297" s="1" t="str">
        <f t="shared" si="81"/>
        <v>治疗费</v>
      </c>
    </row>
    <row r="298" spans="1:5">
      <c r="A298" s="1" t="str">
        <f>"颞颌关节系统检查设计"</f>
        <v>颞颌关节系统检查设计</v>
      </c>
      <c r="B298" s="1">
        <v>12</v>
      </c>
      <c r="C298" s="1" t="str">
        <f t="shared" ref="C298:C300" si="82">"次"</f>
        <v>次</v>
      </c>
      <c r="D298" s="1" t="str">
        <f t="shared" ref="D298:D307" si="83">"次"</f>
        <v>次</v>
      </c>
      <c r="E298" s="1" t="str">
        <f t="shared" si="81"/>
        <v>治疗费</v>
      </c>
    </row>
    <row r="299" spans="1:5">
      <c r="A299" s="1" t="str">
        <f>"颞颌关节镜检查"</f>
        <v>颞颌关节镜检查</v>
      </c>
      <c r="B299" s="1">
        <v>48</v>
      </c>
      <c r="C299" s="1" t="str">
        <f t="shared" si="82"/>
        <v>次</v>
      </c>
      <c r="D299" s="1" t="str">
        <f t="shared" si="83"/>
        <v>次</v>
      </c>
      <c r="E299" s="1" t="str">
        <f t="shared" si="81"/>
        <v>治疗费</v>
      </c>
    </row>
    <row r="300" spans="1:5">
      <c r="A300" s="1" t="str">
        <f>"错畸形初检"</f>
        <v>错畸形初检</v>
      </c>
      <c r="B300" s="1">
        <v>2.4</v>
      </c>
      <c r="C300" s="1" t="str">
        <f t="shared" si="82"/>
        <v>次</v>
      </c>
      <c r="D300" s="1" t="str">
        <f t="shared" si="83"/>
        <v>次</v>
      </c>
      <c r="E300" s="1" t="str">
        <f t="shared" si="81"/>
        <v>治疗费</v>
      </c>
    </row>
    <row r="301" spans="1:5">
      <c r="A301" s="1" t="str">
        <f>"错畸形治疗设计"</f>
        <v>错畸形治疗设计</v>
      </c>
      <c r="B301" s="1">
        <v>60</v>
      </c>
      <c r="C301" s="1" t="str">
        <f>"-"</f>
        <v>-</v>
      </c>
      <c r="D301" s="1" t="str">
        <f t="shared" si="83"/>
        <v>次</v>
      </c>
      <c r="E301" s="1" t="str">
        <f t="shared" si="81"/>
        <v>治疗费</v>
      </c>
    </row>
    <row r="302" spans="1:5">
      <c r="A302" s="1" t="str">
        <f>"固定矫治器复诊处置"</f>
        <v>固定矫治器复诊处置</v>
      </c>
      <c r="B302" s="1">
        <v>12</v>
      </c>
      <c r="C302" s="1" t="str">
        <f t="shared" ref="C302:C307" si="84">"次"</f>
        <v>次</v>
      </c>
      <c r="D302" s="1" t="str">
        <f t="shared" si="83"/>
        <v>次</v>
      </c>
      <c r="E302" s="1" t="str">
        <f t="shared" si="81"/>
        <v>治疗费</v>
      </c>
    </row>
    <row r="303" spans="1:5">
      <c r="A303" s="1" t="str">
        <f>"活动矫治器复诊处置"</f>
        <v>活动矫治器复诊处置</v>
      </c>
      <c r="B303" s="1">
        <v>6</v>
      </c>
      <c r="C303" s="1" t="str">
        <f t="shared" si="84"/>
        <v>次</v>
      </c>
      <c r="D303" s="1" t="str">
        <f t="shared" si="83"/>
        <v>次</v>
      </c>
      <c r="E303" s="1" t="str">
        <f t="shared" si="81"/>
        <v>治疗费</v>
      </c>
    </row>
    <row r="304" spans="1:5">
      <c r="A304" s="1" t="str">
        <f>"功能矫治器复诊处置"</f>
        <v>功能矫治器复诊处置</v>
      </c>
      <c r="B304" s="1">
        <v>6</v>
      </c>
      <c r="C304" s="1" t="str">
        <f t="shared" si="84"/>
        <v>次</v>
      </c>
      <c r="D304" s="1" t="str">
        <f t="shared" si="83"/>
        <v>次</v>
      </c>
      <c r="E304" s="1" t="str">
        <f t="shared" si="81"/>
        <v>治疗费</v>
      </c>
    </row>
    <row r="305" spans="1:5">
      <c r="A305" s="1" t="str">
        <f>"特殊矫治器复诊处置"</f>
        <v>特殊矫治器复诊处置</v>
      </c>
      <c r="B305" s="1">
        <v>6</v>
      </c>
      <c r="C305" s="1" t="str">
        <f t="shared" si="84"/>
        <v>次</v>
      </c>
      <c r="D305" s="1" t="str">
        <f t="shared" si="83"/>
        <v>次</v>
      </c>
      <c r="E305" s="1" t="str">
        <f t="shared" si="81"/>
        <v>治疗费</v>
      </c>
    </row>
    <row r="306" spans="1:5">
      <c r="A306" s="1" t="str">
        <f>"特殊矫治器复诊处置"</f>
        <v>特殊矫治器复诊处置</v>
      </c>
      <c r="B306" s="1">
        <v>8.4</v>
      </c>
      <c r="C306" s="1" t="str">
        <f t="shared" si="84"/>
        <v>次</v>
      </c>
      <c r="D306" s="1" t="str">
        <f t="shared" si="83"/>
        <v>次</v>
      </c>
      <c r="E306" s="1" t="str">
        <f t="shared" si="81"/>
        <v>治疗费</v>
      </c>
    </row>
    <row r="307" spans="1:5">
      <c r="A307" s="1" t="str">
        <f>"错畸形正中位检查"</f>
        <v>错畸形正中位检查</v>
      </c>
      <c r="B307" s="1">
        <v>48</v>
      </c>
      <c r="C307" s="1" t="str">
        <f t="shared" si="84"/>
        <v>次</v>
      </c>
      <c r="D307" s="1" t="str">
        <f t="shared" si="83"/>
        <v>次</v>
      </c>
      <c r="E307" s="1" t="str">
        <f t="shared" si="81"/>
        <v>治疗费</v>
      </c>
    </row>
    <row r="308" spans="1:5">
      <c r="A308" s="1" t="str">
        <f>"义齿压痛定位仪检查"</f>
        <v>义齿压痛定位仪检查</v>
      </c>
      <c r="B308" s="1">
        <v>1.2</v>
      </c>
      <c r="C308" s="1" t="str">
        <f>"每牙"</f>
        <v>每牙</v>
      </c>
      <c r="D308" s="1" t="str">
        <f>"每牙"</f>
        <v>每牙</v>
      </c>
      <c r="E308" s="1" t="str">
        <f t="shared" si="81"/>
        <v>治疗费</v>
      </c>
    </row>
    <row r="309" spans="1:5">
      <c r="A309" s="1" t="str">
        <f>"种植治疗设计"</f>
        <v>种植治疗设计</v>
      </c>
      <c r="B309" s="1">
        <v>60</v>
      </c>
      <c r="C309" s="1" t="str">
        <f>"次"</f>
        <v>次</v>
      </c>
      <c r="D309" s="1" t="str">
        <f>"次"</f>
        <v>次</v>
      </c>
      <c r="E309" s="1" t="str">
        <f t="shared" si="81"/>
        <v>治疗费</v>
      </c>
    </row>
    <row r="310" spans="1:5">
      <c r="A310" s="1" t="str">
        <f>"调合"</f>
        <v>调合</v>
      </c>
      <c r="B310" s="1">
        <v>3.6</v>
      </c>
      <c r="C310" s="1" t="str">
        <f>"每牙"</f>
        <v>每牙</v>
      </c>
      <c r="D310" s="1" t="str">
        <f>"每牙"</f>
        <v>每牙</v>
      </c>
      <c r="E310" s="1" t="str">
        <f t="shared" si="81"/>
        <v>治疗费</v>
      </c>
    </row>
    <row r="311" spans="1:5">
      <c r="A311" s="1" t="str">
        <f>"牙脱敏治疗"</f>
        <v>牙脱敏治疗</v>
      </c>
      <c r="B311" s="1">
        <v>3.6</v>
      </c>
      <c r="C311" s="1" t="str">
        <f>"-"</f>
        <v>-</v>
      </c>
      <c r="D311" s="1" t="str">
        <f>"每牙"</f>
        <v>每牙</v>
      </c>
      <c r="E311" s="1" t="str">
        <f>"治疗费"</f>
        <v>治疗费</v>
      </c>
    </row>
    <row r="312" spans="1:5">
      <c r="A312" s="1" t="str">
        <f>"牙脱敏治疗（签约）"</f>
        <v>牙脱敏治疗（签约）</v>
      </c>
      <c r="B312" s="1">
        <v>3</v>
      </c>
      <c r="C312" s="1" t="str">
        <f t="shared" ref="C312:C317" si="85">"每牙"</f>
        <v>每牙</v>
      </c>
      <c r="D312" s="1" t="str">
        <f t="shared" ref="D312:D317" si="86">"每牙"</f>
        <v>每牙</v>
      </c>
      <c r="E312" s="1" t="str">
        <f t="shared" ref="E312:E322" si="87">"治疗费"</f>
        <v>治疗费</v>
      </c>
    </row>
    <row r="313" spans="1:5">
      <c r="A313" s="1" t="str">
        <f>"牙脱敏治疗(使用激光脱敏仪)"</f>
        <v>牙脱敏治疗(使用激光脱敏仪)</v>
      </c>
      <c r="B313" s="1">
        <v>6</v>
      </c>
      <c r="C313" s="1" t="str">
        <f>"-"</f>
        <v>-</v>
      </c>
      <c r="D313" s="1" t="str">
        <f t="shared" si="86"/>
        <v>每牙</v>
      </c>
      <c r="E313" s="1" t="str">
        <f t="shared" si="87"/>
        <v>治疗费</v>
      </c>
    </row>
    <row r="314" spans="1:5">
      <c r="A314" s="1" t="str">
        <f>"不良修复体拆除"</f>
        <v>不良修复体拆除</v>
      </c>
      <c r="B314" s="1">
        <v>4.8</v>
      </c>
      <c r="C314" s="1" t="str">
        <f t="shared" si="85"/>
        <v>每牙</v>
      </c>
      <c r="D314" s="1" t="str">
        <f t="shared" si="86"/>
        <v>每牙</v>
      </c>
      <c r="E314" s="1" t="str">
        <f t="shared" si="87"/>
        <v>治疗费</v>
      </c>
    </row>
    <row r="315" spans="1:5">
      <c r="A315" s="1" t="str">
        <f>"牙开窗助萌术"</f>
        <v>牙开窗助萌术</v>
      </c>
      <c r="B315" s="1">
        <v>36</v>
      </c>
      <c r="C315" s="1" t="str">
        <f t="shared" si="85"/>
        <v>每牙</v>
      </c>
      <c r="D315" s="1" t="str">
        <f t="shared" si="86"/>
        <v>每牙</v>
      </c>
      <c r="E315" s="1" t="str">
        <f t="shared" si="87"/>
        <v>治疗费</v>
      </c>
    </row>
    <row r="316" spans="1:5">
      <c r="A316" s="1" t="str">
        <f>"口腔局部止血"</f>
        <v>口腔局部止血</v>
      </c>
      <c r="B316" s="1">
        <v>12</v>
      </c>
      <c r="C316" s="1" t="str">
        <f t="shared" si="85"/>
        <v>每牙</v>
      </c>
      <c r="D316" s="1" t="str">
        <f t="shared" si="86"/>
        <v>每牙</v>
      </c>
      <c r="E316" s="1" t="str">
        <f t="shared" si="87"/>
        <v>治疗费</v>
      </c>
    </row>
    <row r="317" spans="1:5">
      <c r="A317" s="1" t="str">
        <f>"口腔局部止血（签约）"</f>
        <v>口腔局部止血（签约）</v>
      </c>
      <c r="B317" s="1">
        <v>11</v>
      </c>
      <c r="C317" s="1" t="str">
        <f t="shared" si="85"/>
        <v>每牙</v>
      </c>
      <c r="D317" s="1" t="str">
        <f t="shared" si="86"/>
        <v>每牙</v>
      </c>
      <c r="E317" s="1" t="str">
        <f t="shared" si="87"/>
        <v>治疗费</v>
      </c>
    </row>
    <row r="318" spans="1:5">
      <c r="A318" s="1" t="str">
        <f>"激光口内治疗"</f>
        <v>激光口内治疗</v>
      </c>
      <c r="B318" s="1">
        <v>18</v>
      </c>
      <c r="C318" s="1" t="str">
        <f>"每部位"</f>
        <v>每部位</v>
      </c>
      <c r="D318" s="1" t="str">
        <f>"每部位"</f>
        <v>每部位</v>
      </c>
      <c r="E318" s="1" t="str">
        <f t="shared" si="87"/>
        <v>治疗费</v>
      </c>
    </row>
    <row r="319" spans="1:5">
      <c r="A319" s="1" t="str">
        <f>"口内脓肿切开引流术"</f>
        <v>口内脓肿切开引流术</v>
      </c>
      <c r="B319" s="1">
        <v>9.6</v>
      </c>
      <c r="C319" s="1" t="str">
        <f>"例"</f>
        <v>例</v>
      </c>
      <c r="D319" s="1" t="str">
        <f>"例"</f>
        <v>例</v>
      </c>
      <c r="E319" s="1" t="str">
        <f t="shared" si="87"/>
        <v>治疗费</v>
      </c>
    </row>
    <row r="320" spans="1:5">
      <c r="A320" s="1" t="str">
        <f>"牙外伤结扎固定术"</f>
        <v>牙外伤结扎固定术</v>
      </c>
      <c r="B320" s="1">
        <v>36</v>
      </c>
      <c r="C320" s="1" t="str">
        <f>"-"</f>
        <v>-</v>
      </c>
      <c r="D320" s="1" t="str">
        <f>"每牙"</f>
        <v>每牙</v>
      </c>
      <c r="E320" s="1" t="str">
        <f t="shared" si="87"/>
        <v>治疗费</v>
      </c>
    </row>
    <row r="321" spans="1:5">
      <c r="A321" s="1" t="str">
        <f>"口腔活检术"</f>
        <v>口腔活检术</v>
      </c>
      <c r="B321" s="1">
        <v>132</v>
      </c>
      <c r="C321" s="1" t="str">
        <f>"次"</f>
        <v>次</v>
      </c>
      <c r="D321" s="1" t="str">
        <f>"次"</f>
        <v>次</v>
      </c>
      <c r="E321" s="1" t="str">
        <f t="shared" si="87"/>
        <v>治疗费</v>
      </c>
    </row>
    <row r="322" spans="1:5">
      <c r="A322" s="1" t="str">
        <f>"简单充填术"</f>
        <v>简单充填术</v>
      </c>
      <c r="B322" s="1">
        <v>14</v>
      </c>
      <c r="C322" s="1" t="str">
        <f>"每牙"</f>
        <v>每牙</v>
      </c>
      <c r="D322" s="1" t="str">
        <f>"每牙"</f>
        <v>每牙</v>
      </c>
      <c r="E322" s="1" t="str">
        <f t="shared" si="87"/>
        <v>治疗费</v>
      </c>
    </row>
    <row r="323" spans="1:5">
      <c r="A323" s="1" t="str">
        <f>"复杂充填术"</f>
        <v>复杂充填术</v>
      </c>
      <c r="B323" s="1">
        <v>18</v>
      </c>
      <c r="C323" s="1" t="str">
        <f>"每牙"</f>
        <v>每牙</v>
      </c>
      <c r="D323" s="1" t="str">
        <f>"每牙"</f>
        <v>每牙</v>
      </c>
      <c r="E323" s="1" t="str">
        <f>"治疗费"</f>
        <v>治疗费</v>
      </c>
    </row>
    <row r="324" spans="1:5">
      <c r="A324" s="1" t="str">
        <f>"牙体桩钉固位修复术"</f>
        <v>牙体桩钉固位修复术</v>
      </c>
      <c r="B324" s="1">
        <v>22</v>
      </c>
      <c r="C324" s="1" t="str">
        <f>"-"</f>
        <v>-</v>
      </c>
      <c r="D324" s="1" t="str">
        <f>"每牙"</f>
        <v>每牙</v>
      </c>
      <c r="E324" s="1" t="str">
        <f>"治疗费"</f>
        <v>治疗费</v>
      </c>
    </row>
    <row r="325" spans="1:5">
      <c r="A325" s="1" t="str">
        <f>"牙体缺损粘接修复术"</f>
        <v>牙体缺损粘接修复术</v>
      </c>
      <c r="B325" s="1">
        <v>22</v>
      </c>
      <c r="C325" s="1" t="str">
        <f>"每牙"</f>
        <v>每牙</v>
      </c>
      <c r="D325" s="1" t="str">
        <f>"每牙"</f>
        <v>每牙</v>
      </c>
      <c r="E325" s="1" t="str">
        <f>"治疗费"</f>
        <v>治疗费</v>
      </c>
    </row>
    <row r="326" spans="1:5">
      <c r="A326" s="1" t="str">
        <f>"牙体缺损粘接修复术（签约）"</f>
        <v>牙体缺损粘接修复术（签约）</v>
      </c>
      <c r="B326" s="1">
        <v>21</v>
      </c>
      <c r="C326" s="1" t="str">
        <f>"每牙"</f>
        <v>每牙</v>
      </c>
      <c r="D326" s="1" t="str">
        <f t="shared" ref="D326:D333" si="88">"每牙"</f>
        <v>每牙</v>
      </c>
      <c r="E326" s="1" t="str">
        <f t="shared" ref="E326:E333" si="89">"治疗费"</f>
        <v>治疗费</v>
      </c>
    </row>
    <row r="327" spans="1:5">
      <c r="A327" s="1" t="str">
        <f>"充填体抛光术"</f>
        <v>充填体抛光术</v>
      </c>
      <c r="B327" s="1" t="str">
        <f>"0.6"</f>
        <v>0.6</v>
      </c>
      <c r="C327" s="1" t="str">
        <f>"-"</f>
        <v>-</v>
      </c>
      <c r="D327" s="1" t="str">
        <f t="shared" si="88"/>
        <v>每牙</v>
      </c>
      <c r="E327" s="1" t="str">
        <f t="shared" si="89"/>
        <v>治疗费</v>
      </c>
    </row>
    <row r="328" spans="1:5">
      <c r="A328" s="1" t="str">
        <f>"前牙美容修复术(前牙切角、切缘修复）"</f>
        <v>前牙美容修复术(前牙切角、切缘修复）</v>
      </c>
      <c r="B328" s="1">
        <v>40</v>
      </c>
      <c r="C328" s="1" t="str">
        <f>"每牙"</f>
        <v>每牙</v>
      </c>
      <c r="D328" s="1" t="str">
        <f t="shared" si="88"/>
        <v>每牙</v>
      </c>
      <c r="E328" s="1" t="str">
        <f t="shared" si="89"/>
        <v>治疗费</v>
      </c>
    </row>
    <row r="329" spans="1:5">
      <c r="A329" s="1" t="str">
        <f>"前牙美容修复术（全瓷贴面）"</f>
        <v>前牙美容修复术（全瓷贴面）</v>
      </c>
      <c r="B329" s="1">
        <v>1500</v>
      </c>
      <c r="C329" s="1" t="str">
        <f>"每牙"</f>
        <v>每牙</v>
      </c>
      <c r="D329" s="1" t="str">
        <f t="shared" si="88"/>
        <v>每牙</v>
      </c>
      <c r="E329" s="1" t="str">
        <f t="shared" si="89"/>
        <v>治疗费</v>
      </c>
    </row>
    <row r="330" spans="1:5">
      <c r="A330" s="1" t="str">
        <f>"树脂嵌体修复术"</f>
        <v>树脂嵌体修复术</v>
      </c>
      <c r="B330" s="1">
        <v>24</v>
      </c>
      <c r="C330" s="1" t="str">
        <f>"-"</f>
        <v>-</v>
      </c>
      <c r="D330" s="1" t="str">
        <f t="shared" si="88"/>
        <v>每牙</v>
      </c>
      <c r="E330" s="1" t="str">
        <f t="shared" si="89"/>
        <v>治疗费</v>
      </c>
    </row>
    <row r="331" spans="1:5">
      <c r="A331" s="1" t="str">
        <f>"树脂嵌体修复术（签约）"</f>
        <v>树脂嵌体修复术（签约）</v>
      </c>
      <c r="B331" s="1">
        <v>23</v>
      </c>
      <c r="C331" s="1" t="str">
        <f t="shared" ref="C331:C333" si="90">"每牙"</f>
        <v>每牙</v>
      </c>
      <c r="D331" s="1" t="str">
        <f t="shared" si="88"/>
        <v>每牙</v>
      </c>
      <c r="E331" s="1" t="str">
        <f t="shared" si="89"/>
        <v>治疗费</v>
      </c>
    </row>
    <row r="332" spans="1:5">
      <c r="A332" s="1" t="str">
        <f>"牙脱色术"</f>
        <v>牙脱色术</v>
      </c>
      <c r="B332" s="1">
        <v>7.2</v>
      </c>
      <c r="C332" s="1" t="str">
        <f t="shared" si="90"/>
        <v>每牙</v>
      </c>
      <c r="D332" s="1" t="str">
        <f t="shared" si="88"/>
        <v>每牙</v>
      </c>
      <c r="E332" s="1" t="str">
        <f t="shared" si="89"/>
        <v>治疗费</v>
      </c>
    </row>
    <row r="333" spans="1:5">
      <c r="A333" s="1" t="str">
        <f>"盖髓术"</f>
        <v>盖髓术</v>
      </c>
      <c r="B333" s="1">
        <v>4.8</v>
      </c>
      <c r="C333" s="1" t="str">
        <f t="shared" si="90"/>
        <v>每牙</v>
      </c>
      <c r="D333" s="1" t="str">
        <f t="shared" si="88"/>
        <v>每牙</v>
      </c>
      <c r="E333" s="1" t="str">
        <f t="shared" si="89"/>
        <v>治疗费</v>
      </c>
    </row>
    <row r="334" spans="1:5">
      <c r="A334" s="1" t="str">
        <f>"盖髓术（签约）"</f>
        <v>盖髓术（签约）</v>
      </c>
      <c r="B334" s="1">
        <v>4</v>
      </c>
      <c r="C334" s="1" t="str">
        <f t="shared" ref="C334:C337" si="91">"每牙"</f>
        <v>每牙</v>
      </c>
      <c r="D334" s="1" t="str">
        <f>"每牙"</f>
        <v>每牙</v>
      </c>
      <c r="E334" s="1" t="str">
        <f t="shared" ref="E334:E339" si="92">"治疗费"</f>
        <v>治疗费</v>
      </c>
    </row>
    <row r="335" spans="1:5">
      <c r="A335" s="1" t="str">
        <f>"牙髓失活术"</f>
        <v>牙髓失活术</v>
      </c>
      <c r="B335" s="1">
        <v>24</v>
      </c>
      <c r="C335" s="1" t="str">
        <f t="shared" si="91"/>
        <v>每牙</v>
      </c>
      <c r="D335" s="1" t="str">
        <f>"每牙"</f>
        <v>每牙</v>
      </c>
      <c r="E335" s="1" t="str">
        <f t="shared" si="92"/>
        <v>治疗费</v>
      </c>
    </row>
    <row r="336" spans="1:5">
      <c r="A336" s="1" t="str">
        <f>"开髓引流术"</f>
        <v>开髓引流术</v>
      </c>
      <c r="B336" s="1">
        <v>24</v>
      </c>
      <c r="C336" s="1" t="str">
        <f t="shared" si="91"/>
        <v>每牙</v>
      </c>
      <c r="D336" s="1" t="str">
        <f>"每牙"</f>
        <v>每牙</v>
      </c>
      <c r="E336" s="1" t="str">
        <f t="shared" si="92"/>
        <v>治疗费</v>
      </c>
    </row>
    <row r="337" spans="1:5">
      <c r="A337" s="1" t="str">
        <f>"干髓术"</f>
        <v>干髓术</v>
      </c>
      <c r="B337" s="1">
        <v>12</v>
      </c>
      <c r="C337" s="1" t="str">
        <f t="shared" si="91"/>
        <v>每牙</v>
      </c>
      <c r="D337" s="1" t="str">
        <f>"每牙"</f>
        <v>每牙</v>
      </c>
      <c r="E337" s="1" t="str">
        <f t="shared" si="92"/>
        <v>治疗费</v>
      </c>
    </row>
    <row r="338" spans="1:5">
      <c r="A338" s="1" t="str">
        <f>"牙髓摘除术"</f>
        <v>牙髓摘除术</v>
      </c>
      <c r="B338" s="1">
        <v>12</v>
      </c>
      <c r="C338" s="1" t="str">
        <f>"每根管"</f>
        <v>每根管</v>
      </c>
      <c r="D338" s="1" t="str">
        <f>"每根管"</f>
        <v>每根管</v>
      </c>
      <c r="E338" s="1" t="str">
        <f t="shared" si="92"/>
        <v>治疗费</v>
      </c>
    </row>
    <row r="339" spans="1:5">
      <c r="A339" s="1" t="str">
        <f>"根管预备"</f>
        <v>根管预备</v>
      </c>
      <c r="B339" s="1">
        <v>30</v>
      </c>
      <c r="C339" s="1" t="str">
        <f>"每根管"</f>
        <v>每根管</v>
      </c>
      <c r="D339" s="1" t="str">
        <f>"每根管"</f>
        <v>每根管</v>
      </c>
      <c r="E339" s="1" t="str">
        <f t="shared" si="92"/>
        <v>治疗费</v>
      </c>
    </row>
    <row r="340" spans="1:5">
      <c r="A340" s="1" t="str">
        <f>"根管充填术"</f>
        <v>根管充填术</v>
      </c>
      <c r="B340" s="1">
        <v>30</v>
      </c>
      <c r="C340" s="1" t="str">
        <f>"每根管"</f>
        <v>每根管</v>
      </c>
      <c r="D340" s="1" t="str">
        <f>"每根管"</f>
        <v>每根管</v>
      </c>
      <c r="E340" s="1" t="str">
        <f>"治疗费"</f>
        <v>治疗费</v>
      </c>
    </row>
    <row r="341" spans="1:5">
      <c r="A341" s="1" t="str">
        <f>"根管充填术（使用特殊仪器）"</f>
        <v>根管充填术（使用特殊仪器）</v>
      </c>
      <c r="B341" s="1">
        <v>42</v>
      </c>
      <c r="C341" s="1" t="str">
        <f t="shared" ref="C341:C345" si="93">"每根管"</f>
        <v>每根管</v>
      </c>
      <c r="D341" s="1" t="str">
        <f t="shared" ref="D341:D347" si="94">"每根管"</f>
        <v>每根管</v>
      </c>
      <c r="E341" s="1" t="str">
        <f t="shared" ref="E341:E348" si="95">"治疗费"</f>
        <v>治疗费</v>
      </c>
    </row>
    <row r="342" spans="1:5">
      <c r="A342" s="1" t="str">
        <f>"显微根管治疗术"</f>
        <v>显微根管治疗术</v>
      </c>
      <c r="B342" s="1">
        <v>144</v>
      </c>
      <c r="C342" s="1" t="str">
        <f>"-"</f>
        <v>-</v>
      </c>
      <c r="D342" s="1" t="str">
        <f t="shared" si="94"/>
        <v>每根管</v>
      </c>
      <c r="E342" s="1" t="str">
        <f t="shared" si="95"/>
        <v>治疗费</v>
      </c>
    </row>
    <row r="343" spans="1:5">
      <c r="A343" s="1" t="str">
        <f>"髓腔消毒术"</f>
        <v>髓腔消毒术</v>
      </c>
      <c r="B343" s="1">
        <v>12</v>
      </c>
      <c r="C343" s="1" t="str">
        <f t="shared" si="93"/>
        <v>每根管</v>
      </c>
      <c r="D343" s="1" t="str">
        <f t="shared" si="94"/>
        <v>每根管</v>
      </c>
      <c r="E343" s="1" t="str">
        <f t="shared" si="95"/>
        <v>治疗费</v>
      </c>
    </row>
    <row r="344" spans="1:5">
      <c r="A344" s="1" t="str">
        <f>"根管消毒术"</f>
        <v>根管消毒术</v>
      </c>
      <c r="B344" s="1">
        <v>12</v>
      </c>
      <c r="C344" s="1" t="str">
        <f>"次"</f>
        <v>次</v>
      </c>
      <c r="D344" s="1" t="str">
        <f t="shared" si="94"/>
        <v>每根管</v>
      </c>
      <c r="E344" s="1" t="str">
        <f t="shared" si="95"/>
        <v>治疗费</v>
      </c>
    </row>
    <row r="345" spans="1:5">
      <c r="A345" s="1" t="str">
        <f>"髓腔消毒术（使用特殊仪器(微波仪等)）"</f>
        <v>髓腔消毒术（使用特殊仪器(微波仪等)）</v>
      </c>
      <c r="B345" s="1">
        <v>18</v>
      </c>
      <c r="C345" s="1" t="str">
        <f t="shared" si="93"/>
        <v>每根管</v>
      </c>
      <c r="D345" s="1" t="str">
        <f t="shared" si="94"/>
        <v>每根管</v>
      </c>
      <c r="E345" s="1" t="str">
        <f t="shared" si="95"/>
        <v>治疗费</v>
      </c>
    </row>
    <row r="346" spans="1:5">
      <c r="A346" s="1" t="str">
        <f>"牙髓塑化治疗术"</f>
        <v>牙髓塑化治疗术</v>
      </c>
      <c r="B346" s="1">
        <v>36</v>
      </c>
      <c r="C346" s="1" t="str">
        <f>"-"</f>
        <v>-</v>
      </c>
      <c r="D346" s="1" t="str">
        <f t="shared" si="94"/>
        <v>每根管</v>
      </c>
      <c r="E346" s="1" t="str">
        <f t="shared" si="95"/>
        <v>治疗费</v>
      </c>
    </row>
    <row r="347" spans="1:5">
      <c r="A347" s="1" t="str">
        <f>"根管再治疗术"</f>
        <v>根管再治疗术</v>
      </c>
      <c r="B347" s="1">
        <v>36</v>
      </c>
      <c r="C347" s="1" t="str">
        <f>"每根管"</f>
        <v>每根管</v>
      </c>
      <c r="D347" s="1" t="str">
        <f t="shared" si="94"/>
        <v>每根管</v>
      </c>
      <c r="E347" s="1" t="str">
        <f t="shared" si="95"/>
        <v>治疗费</v>
      </c>
    </row>
    <row r="348" spans="1:5">
      <c r="A348" s="1" t="str">
        <f>"根管扩通术"</f>
        <v>根管扩通术</v>
      </c>
      <c r="B348" s="1">
        <v>36</v>
      </c>
      <c r="C348" s="1" t="str">
        <f>"项"</f>
        <v>项</v>
      </c>
      <c r="D348" s="1" t="str">
        <f>"项"</f>
        <v>项</v>
      </c>
      <c r="E348" s="1" t="str">
        <f t="shared" si="95"/>
        <v>治疗费</v>
      </c>
    </row>
    <row r="349" spans="1:5">
      <c r="A349" s="1" t="str">
        <f>"髓腔穿孔修补术"</f>
        <v>髓腔穿孔修补术</v>
      </c>
      <c r="B349" s="1">
        <v>24</v>
      </c>
      <c r="C349" s="1" t="str">
        <f>"-"</f>
        <v>-</v>
      </c>
      <c r="D349" s="1" t="str">
        <f>"每根管"</f>
        <v>每根管</v>
      </c>
      <c r="E349" s="1" t="str">
        <f>"治疗费"</f>
        <v>治疗费</v>
      </c>
    </row>
    <row r="350" spans="1:5">
      <c r="A350" s="1" t="str">
        <f>"根管壁穿孔外科修补术"</f>
        <v>根管壁穿孔外科修补术</v>
      </c>
      <c r="B350" s="1">
        <v>48</v>
      </c>
      <c r="C350" s="1" t="str">
        <f>"-"</f>
        <v>-</v>
      </c>
      <c r="D350" s="1" t="str">
        <f>"每根管"</f>
        <v>每根管</v>
      </c>
      <c r="E350" s="1" t="str">
        <f t="shared" ref="E350:E355" si="96">"治疗费"</f>
        <v>治疗费</v>
      </c>
    </row>
    <row r="351" spans="1:5">
      <c r="A351" s="1" t="str">
        <f>"牙槽骨烧伤清创术"</f>
        <v>牙槽骨烧伤清创术</v>
      </c>
      <c r="B351" s="1">
        <v>24</v>
      </c>
      <c r="C351" s="1" t="str">
        <f>"-"</f>
        <v>-</v>
      </c>
      <c r="D351" s="1" t="str">
        <f>"次"</f>
        <v>次</v>
      </c>
      <c r="E351" s="1" t="str">
        <f>"手术费"</f>
        <v>手术费</v>
      </c>
    </row>
    <row r="352" spans="1:5">
      <c r="A352" s="1" t="str">
        <f>"根管内固定术"</f>
        <v>根管内固定术</v>
      </c>
      <c r="B352" s="1">
        <v>36</v>
      </c>
      <c r="C352" s="1" t="str">
        <f>"-"</f>
        <v>-</v>
      </c>
      <c r="D352" s="1" t="str">
        <f>"每根管"</f>
        <v>每根管</v>
      </c>
      <c r="E352" s="1" t="str">
        <f t="shared" si="96"/>
        <v>治疗费</v>
      </c>
    </row>
    <row r="353" spans="1:5">
      <c r="A353" s="1" t="str">
        <f>"劈裂牙治疗"</f>
        <v>劈裂牙治疗</v>
      </c>
      <c r="B353" s="1">
        <v>24</v>
      </c>
      <c r="C353" s="1" t="str">
        <f>"每牙"</f>
        <v>每牙</v>
      </c>
      <c r="D353" s="1" t="str">
        <f>"每牙"</f>
        <v>每牙</v>
      </c>
      <c r="E353" s="1" t="str">
        <f t="shared" si="96"/>
        <v>治疗费</v>
      </c>
    </row>
    <row r="354" spans="1:5">
      <c r="A354" s="1" t="str">
        <f>"后牙纵折固定术"</f>
        <v>后牙纵折固定术</v>
      </c>
      <c r="B354" s="1">
        <v>7.2</v>
      </c>
      <c r="C354" s="1" t="str">
        <f>"-"</f>
        <v>-</v>
      </c>
      <c r="D354" s="1" t="str">
        <f>"每牙"</f>
        <v>每牙</v>
      </c>
      <c r="E354" s="1" t="str">
        <f t="shared" si="96"/>
        <v>治疗费</v>
      </c>
    </row>
    <row r="355" spans="1:5">
      <c r="A355" s="1" t="str">
        <f>"根尖诱导成形术"</f>
        <v>根尖诱导成形术</v>
      </c>
      <c r="B355" s="1">
        <v>48</v>
      </c>
      <c r="C355" s="1" t="str">
        <f>"-"</f>
        <v>-</v>
      </c>
      <c r="D355" s="1" t="str">
        <f>"每根管"</f>
        <v>每根管</v>
      </c>
      <c r="E355" s="1" t="str">
        <f t="shared" si="96"/>
        <v>治疗费</v>
      </c>
    </row>
    <row r="356" spans="1:5">
      <c r="A356" s="1" t="str">
        <f>"窝沟封闭"</f>
        <v>窝沟封闭</v>
      </c>
      <c r="B356" s="1">
        <v>24</v>
      </c>
      <c r="C356" s="1" t="str">
        <f>"每牙"</f>
        <v>每牙</v>
      </c>
      <c r="D356" s="1" t="str">
        <f>"每牙"</f>
        <v>每牙</v>
      </c>
      <c r="E356" s="1" t="str">
        <f t="shared" ref="E356:E370" si="97">"治疗费"</f>
        <v>治疗费</v>
      </c>
    </row>
    <row r="357" spans="1:5">
      <c r="A357" s="1" t="str">
        <f>"乳牙预成冠修复"</f>
        <v>乳牙预成冠修复</v>
      </c>
      <c r="B357" s="1">
        <v>84</v>
      </c>
      <c r="C357" s="1" t="str">
        <f>"-"</f>
        <v>-</v>
      </c>
      <c r="D357" s="1" t="str">
        <f>"每牙"</f>
        <v>每牙</v>
      </c>
      <c r="E357" s="1" t="str">
        <f t="shared" si="97"/>
        <v>治疗费</v>
      </c>
    </row>
    <row r="358" spans="1:5">
      <c r="A358" s="1" t="str">
        <f>"儿童前牙树脂冠修复"</f>
        <v>儿童前牙树脂冠修复</v>
      </c>
      <c r="B358" s="1">
        <v>9.6</v>
      </c>
      <c r="C358" s="1" t="str">
        <f>"-"</f>
        <v>-</v>
      </c>
      <c r="D358" s="1" t="str">
        <f>"每牙"</f>
        <v>每牙</v>
      </c>
      <c r="E358" s="1" t="str">
        <f t="shared" si="97"/>
        <v>治疗费</v>
      </c>
    </row>
    <row r="359" spans="1:5">
      <c r="A359" s="1" t="str">
        <f>"制戴固定式缺隙保持器"</f>
        <v>制戴固定式缺隙保持器</v>
      </c>
      <c r="B359" s="1">
        <v>26</v>
      </c>
      <c r="C359" s="1" t="str">
        <f>"项"</f>
        <v>项</v>
      </c>
      <c r="D359" s="1" t="str">
        <f t="shared" ref="D359:D361" si="98">"次"</f>
        <v>次</v>
      </c>
      <c r="E359" s="1" t="str">
        <f t="shared" si="97"/>
        <v>治疗费</v>
      </c>
    </row>
    <row r="360" spans="1:5">
      <c r="A360" s="1" t="str">
        <f>"制戴活动式缺隙保持器"</f>
        <v>制戴活动式缺隙保持器</v>
      </c>
      <c r="B360" s="1">
        <v>42</v>
      </c>
      <c r="C360" s="1" t="str">
        <f>"项"</f>
        <v>项</v>
      </c>
      <c r="D360" s="1" t="str">
        <f t="shared" si="98"/>
        <v>次</v>
      </c>
      <c r="E360" s="1" t="str">
        <f t="shared" si="97"/>
        <v>治疗费</v>
      </c>
    </row>
    <row r="361" spans="1:5">
      <c r="A361" s="1" t="str">
        <f>"制戴活动矫正器"</f>
        <v>制戴活动矫正器</v>
      </c>
      <c r="B361" s="1">
        <v>54</v>
      </c>
      <c r="C361" s="1" t="str">
        <f t="shared" ref="C361:C365" si="99">"-"</f>
        <v>-</v>
      </c>
      <c r="D361" s="1" t="str">
        <f t="shared" si="98"/>
        <v>次</v>
      </c>
      <c r="E361" s="1" t="str">
        <f t="shared" si="97"/>
        <v>治疗费</v>
      </c>
    </row>
    <row r="362" spans="1:5">
      <c r="A362" s="1" t="str">
        <f>"前牙根折根牵引"</f>
        <v>前牙根折根牵引</v>
      </c>
      <c r="B362" s="1">
        <v>78</v>
      </c>
      <c r="C362" s="1" t="str">
        <f t="shared" si="99"/>
        <v>-</v>
      </c>
      <c r="D362" s="1" t="str">
        <f t="shared" ref="D362:D370" si="100">"每牙"</f>
        <v>每牙</v>
      </c>
      <c r="E362" s="1" t="str">
        <f t="shared" si="97"/>
        <v>治疗费</v>
      </c>
    </row>
    <row r="363" spans="1:5">
      <c r="A363" s="1" t="str">
        <f>"钙化桥打通术"</f>
        <v>钙化桥打通术</v>
      </c>
      <c r="B363" s="1">
        <v>24</v>
      </c>
      <c r="C363" s="1" t="str">
        <f>"每根管"</f>
        <v>每根管</v>
      </c>
      <c r="D363" s="1" t="str">
        <f>"每根管"</f>
        <v>每根管</v>
      </c>
      <c r="E363" s="1" t="str">
        <f t="shared" si="97"/>
        <v>治疗费</v>
      </c>
    </row>
    <row r="364" spans="1:5">
      <c r="A364" s="1" t="str">
        <f>"全牙列垫固定术"</f>
        <v>全牙列垫固定术</v>
      </c>
      <c r="B364" s="1">
        <v>120</v>
      </c>
      <c r="C364" s="1" t="str">
        <f>"单颌"</f>
        <v>单颌</v>
      </c>
      <c r="D364" s="1" t="str">
        <f>"单颌"</f>
        <v>单颌</v>
      </c>
      <c r="E364" s="1" t="str">
        <f t="shared" si="97"/>
        <v>治疗费</v>
      </c>
    </row>
    <row r="365" spans="1:5">
      <c r="A365" s="1" t="str">
        <f>"活髓切断术"</f>
        <v>活髓切断术</v>
      </c>
      <c r="B365" s="1">
        <v>12</v>
      </c>
      <c r="C365" s="1" t="str">
        <f t="shared" si="99"/>
        <v>-</v>
      </c>
      <c r="D365" s="1" t="str">
        <f t="shared" si="100"/>
        <v>每牙</v>
      </c>
      <c r="E365" s="1" t="str">
        <f t="shared" si="97"/>
        <v>治疗费</v>
      </c>
    </row>
    <row r="366" spans="1:5">
      <c r="A366" s="1" t="str">
        <f>"洁治"</f>
        <v>洁治</v>
      </c>
      <c r="B366" s="1">
        <v>2.4</v>
      </c>
      <c r="C366" s="1" t="str">
        <f t="shared" ref="C366:C369" si="101">"每牙"</f>
        <v>每牙</v>
      </c>
      <c r="D366" s="1" t="str">
        <f t="shared" si="100"/>
        <v>每牙</v>
      </c>
      <c r="E366" s="1" t="str">
        <f t="shared" si="97"/>
        <v>治疗费</v>
      </c>
    </row>
    <row r="367" spans="1:5">
      <c r="A367" s="1" t="str">
        <f>"洁治（签约）"</f>
        <v>洁治（签约）</v>
      </c>
      <c r="B367" s="1">
        <v>2</v>
      </c>
      <c r="C367" s="1" t="str">
        <f t="shared" si="101"/>
        <v>每牙</v>
      </c>
      <c r="D367" s="1" t="str">
        <f t="shared" si="100"/>
        <v>每牙</v>
      </c>
      <c r="E367" s="1" t="str">
        <f t="shared" si="97"/>
        <v>治疗费</v>
      </c>
    </row>
    <row r="368" spans="1:5">
      <c r="A368" s="1" t="str">
        <f>"龈下刮治"</f>
        <v>龈下刮治</v>
      </c>
      <c r="B368" s="1">
        <v>2.4</v>
      </c>
      <c r="C368" s="1" t="str">
        <f t="shared" si="101"/>
        <v>每牙</v>
      </c>
      <c r="D368" s="1" t="str">
        <f t="shared" si="100"/>
        <v>每牙</v>
      </c>
      <c r="E368" s="1" t="str">
        <f t="shared" si="97"/>
        <v>治疗费</v>
      </c>
    </row>
    <row r="369" spans="1:5">
      <c r="A369" s="1" t="str">
        <f>"龈下刮治（签约）"</f>
        <v>龈下刮治（签约）</v>
      </c>
      <c r="B369" s="1">
        <v>2</v>
      </c>
      <c r="C369" s="1" t="str">
        <f t="shared" si="101"/>
        <v>每牙</v>
      </c>
      <c r="D369" s="1" t="str">
        <f t="shared" si="100"/>
        <v>每牙</v>
      </c>
      <c r="E369" s="1" t="str">
        <f t="shared" si="97"/>
        <v>治疗费</v>
      </c>
    </row>
    <row r="370" spans="1:5">
      <c r="A370" s="1" t="str">
        <f>"牙周固定"</f>
        <v>牙周固定</v>
      </c>
      <c r="B370" s="1">
        <v>7.2</v>
      </c>
      <c r="C370" s="1" t="str">
        <f>"-"</f>
        <v>-</v>
      </c>
      <c r="D370" s="1" t="str">
        <f t="shared" si="100"/>
        <v>每牙</v>
      </c>
      <c r="E370" s="1" t="str">
        <f t="shared" si="97"/>
        <v>治疗费</v>
      </c>
    </row>
    <row r="371" spans="1:5">
      <c r="A371" s="1" t="str">
        <f>"去除牙周固定"</f>
        <v>去除牙周固定</v>
      </c>
      <c r="B371" s="1">
        <v>3.6</v>
      </c>
      <c r="C371" s="1" t="str">
        <f>"-"</f>
        <v>-</v>
      </c>
      <c r="D371" s="1" t="str">
        <f>"每牙"</f>
        <v>每牙</v>
      </c>
      <c r="E371" s="1" t="str">
        <f t="shared" ref="E371:E374" si="102">"治疗费"</f>
        <v>治疗费</v>
      </c>
    </row>
    <row r="372" spans="1:5">
      <c r="A372" s="1" t="str">
        <f>"牙面光洁术"</f>
        <v>牙面光洁术</v>
      </c>
      <c r="B372" s="1">
        <v>1.2</v>
      </c>
      <c r="C372" s="1" t="str">
        <f>"-"</f>
        <v>-</v>
      </c>
      <c r="D372" s="1" t="str">
        <f>"每牙"</f>
        <v>每牙</v>
      </c>
      <c r="E372" s="1" t="str">
        <f t="shared" si="102"/>
        <v>治疗费</v>
      </c>
    </row>
    <row r="373" spans="1:5">
      <c r="A373" s="1" t="str">
        <f>"牙面光洁术（签约）"</f>
        <v>牙面光洁术（签约）</v>
      </c>
      <c r="B373" s="1">
        <v>1</v>
      </c>
      <c r="C373" s="1" t="str">
        <f>"每牙"</f>
        <v>每牙</v>
      </c>
      <c r="D373" s="1" t="str">
        <f>"每牙"</f>
        <v>每牙</v>
      </c>
      <c r="E373" s="1" t="str">
        <f t="shared" si="102"/>
        <v>治疗费</v>
      </c>
    </row>
    <row r="374" spans="1:5">
      <c r="A374" s="1" t="str">
        <f>"牙龈保护剂塞治"</f>
        <v>牙龈保护剂塞治</v>
      </c>
      <c r="B374" s="1">
        <v>6</v>
      </c>
      <c r="C374" s="1" t="str">
        <f>"-"</f>
        <v>-</v>
      </c>
      <c r="D374" s="1" t="str">
        <f>"每牙"</f>
        <v>每牙</v>
      </c>
      <c r="E374" s="1" t="str">
        <f t="shared" si="102"/>
        <v>治疗费</v>
      </c>
    </row>
    <row r="375" spans="1:5">
      <c r="A375" s="1" t="str">
        <f>"急性坏死性龈炎局部清创"</f>
        <v>急性坏死性龈炎局部清创</v>
      </c>
      <c r="B375" s="1">
        <v>12</v>
      </c>
      <c r="C375" s="1" t="str">
        <f>"-"</f>
        <v>-</v>
      </c>
      <c r="D375" s="1" t="str">
        <f>"每牙"</f>
        <v>每牙</v>
      </c>
      <c r="E375" s="1" t="str">
        <f>"手术费"</f>
        <v>手术费</v>
      </c>
    </row>
    <row r="376" spans="1:5">
      <c r="A376" s="1" t="str">
        <f>"根面平整术"</f>
        <v>根面平整术</v>
      </c>
      <c r="B376" s="1">
        <v>8.4</v>
      </c>
      <c r="C376" s="1" t="str">
        <f>"每牙"</f>
        <v>每牙</v>
      </c>
      <c r="D376" s="1" t="str">
        <f>"每牙"</f>
        <v>每牙</v>
      </c>
      <c r="E376" s="1" t="str">
        <f t="shared" ref="E376:E404" si="103">"治疗费"</f>
        <v>治疗费</v>
      </c>
    </row>
    <row r="377" spans="1:5">
      <c r="A377" s="1" t="str">
        <f>"根面平整术(超声根面平整)"</f>
        <v>根面平整术(超声根面平整)</v>
      </c>
      <c r="B377" s="1">
        <v>12</v>
      </c>
      <c r="C377" s="1" t="str">
        <f>"-"</f>
        <v>-</v>
      </c>
      <c r="D377" s="1" t="str">
        <f>"每牙"</f>
        <v>每牙</v>
      </c>
      <c r="E377" s="1" t="str">
        <f t="shared" si="103"/>
        <v>治疗费</v>
      </c>
    </row>
    <row r="378" spans="1:5">
      <c r="A378" s="1" t="str">
        <f>"口腔粘膜病系统治疗设计"</f>
        <v>口腔粘膜病系统治疗设计</v>
      </c>
      <c r="B378" s="1">
        <v>6</v>
      </c>
      <c r="C378" s="1" t="str">
        <f>"-"</f>
        <v>-</v>
      </c>
      <c r="D378" s="1" t="str">
        <f t="shared" ref="D378:D380" si="104">"次"</f>
        <v>次</v>
      </c>
      <c r="E378" s="1" t="str">
        <f t="shared" si="103"/>
        <v>治疗费</v>
      </c>
    </row>
    <row r="379" spans="1:5">
      <c r="A379" s="1" t="str">
        <f>"口腔粘膜雾化治疗"</f>
        <v>口腔粘膜雾化治疗</v>
      </c>
      <c r="B379" s="1">
        <v>6</v>
      </c>
      <c r="C379" s="1" t="str">
        <f t="shared" ref="C379:C382" si="105">"次"</f>
        <v>次</v>
      </c>
      <c r="D379" s="1" t="str">
        <f t="shared" si="104"/>
        <v>次</v>
      </c>
      <c r="E379" s="1" t="str">
        <f t="shared" si="103"/>
        <v>治疗费</v>
      </c>
    </row>
    <row r="380" spans="1:5">
      <c r="A380" s="1" t="str">
        <f>"口腔粘膜病特殊治疗（红外线治疗、微波、冷冻、频谱等法）"</f>
        <v>口腔粘膜病特殊治疗（红外线治疗、微波、冷冻、频谱等法）</v>
      </c>
      <c r="B380" s="1">
        <v>6</v>
      </c>
      <c r="C380" s="1" t="str">
        <f t="shared" si="105"/>
        <v>次</v>
      </c>
      <c r="D380" s="1" t="str">
        <f t="shared" si="104"/>
        <v>次</v>
      </c>
      <c r="E380" s="1" t="str">
        <f t="shared" si="103"/>
        <v>治疗费</v>
      </c>
    </row>
    <row r="381" spans="1:5">
      <c r="A381" s="1" t="str">
        <f>"颞下颌关节复位术"</f>
        <v>颞下颌关节复位术</v>
      </c>
      <c r="B381" s="1">
        <v>42</v>
      </c>
      <c r="C381" s="1">
        <v>1</v>
      </c>
      <c r="D381" s="1" t="str">
        <f>"每次"</f>
        <v>每次</v>
      </c>
      <c r="E381" s="1" t="str">
        <f t="shared" si="103"/>
        <v>治疗费</v>
      </c>
    </row>
    <row r="382" spans="1:5">
      <c r="A382" s="1" t="str">
        <f>"冠周炎局部治疗"</f>
        <v>冠周炎局部治疗</v>
      </c>
      <c r="B382" s="1">
        <v>9.6</v>
      </c>
      <c r="C382" s="1" t="str">
        <f t="shared" si="105"/>
        <v>次</v>
      </c>
      <c r="D382" s="1" t="str">
        <f t="shared" ref="D382:D385" si="106">"次"</f>
        <v>次</v>
      </c>
      <c r="E382" s="1" t="str">
        <f t="shared" si="103"/>
        <v>治疗费</v>
      </c>
    </row>
    <row r="383" spans="1:5">
      <c r="A383" s="1" t="str">
        <f>"干槽症换药"</f>
        <v>干槽症换药</v>
      </c>
      <c r="B383" s="1">
        <v>17</v>
      </c>
      <c r="C383" s="1" t="str">
        <f>"-"</f>
        <v>-</v>
      </c>
      <c r="D383" s="1" t="str">
        <f t="shared" si="106"/>
        <v>次</v>
      </c>
      <c r="E383" s="1" t="str">
        <f t="shared" si="103"/>
        <v>治疗费</v>
      </c>
    </row>
    <row r="384" spans="1:5">
      <c r="A384" s="1" t="str">
        <f>"腮腺导管内药物灌注治疗"</f>
        <v>腮腺导管内药物灌注治疗</v>
      </c>
      <c r="B384" s="1">
        <v>36</v>
      </c>
      <c r="C384" s="1" t="str">
        <f>"次"</f>
        <v>次</v>
      </c>
      <c r="D384" s="1" t="str">
        <f t="shared" si="106"/>
        <v>次</v>
      </c>
      <c r="E384" s="1" t="str">
        <f t="shared" si="103"/>
        <v>治疗费</v>
      </c>
    </row>
    <row r="385" spans="1:5">
      <c r="A385" s="1" t="str">
        <f>"面神经功能训练"</f>
        <v>面神经功能训练</v>
      </c>
      <c r="B385" s="1">
        <v>4.8</v>
      </c>
      <c r="C385" s="1" t="str">
        <f>"次"</f>
        <v>次</v>
      </c>
      <c r="D385" s="1" t="str">
        <f t="shared" si="106"/>
        <v>次</v>
      </c>
      <c r="E385" s="1" t="str">
        <f t="shared" si="103"/>
        <v>治疗费</v>
      </c>
    </row>
    <row r="386" spans="1:5">
      <c r="A386" s="1" t="str">
        <f>"口腔颌面部各类冷冻治疗"</f>
        <v>口腔颌面部各类冷冻治疗</v>
      </c>
      <c r="B386" s="1">
        <v>30</v>
      </c>
      <c r="C386" s="1" t="str">
        <f>"每部位"</f>
        <v>每部位</v>
      </c>
      <c r="D386" s="1" t="str">
        <f>"每部位"</f>
        <v>每部位</v>
      </c>
      <c r="E386" s="1" t="str">
        <f t="shared" si="103"/>
        <v>治疗费</v>
      </c>
    </row>
    <row r="387" spans="1:5">
      <c r="A387" s="1" t="str">
        <f>"颞颌关节腔内封闭治疗"</f>
        <v>颞颌关节腔内封闭治疗</v>
      </c>
      <c r="B387" s="1">
        <v>17</v>
      </c>
      <c r="C387" s="1" t="str">
        <f>"单侧"</f>
        <v>单侧</v>
      </c>
      <c r="D387" s="1" t="str">
        <f>"单侧"</f>
        <v>单侧</v>
      </c>
      <c r="E387" s="1" t="str">
        <f t="shared" si="103"/>
        <v>治疗费</v>
      </c>
    </row>
    <row r="388" spans="1:5">
      <c r="A388" s="1" t="str">
        <f>"调磨合(代)垫"</f>
        <v>调磨合(代)垫</v>
      </c>
      <c r="B388" s="1">
        <v>6</v>
      </c>
      <c r="C388" s="1">
        <v>1</v>
      </c>
      <c r="D388" s="1" t="str">
        <f>"每次"</f>
        <v>每次</v>
      </c>
      <c r="E388" s="1" t="str">
        <f t="shared" si="103"/>
        <v>治疗费</v>
      </c>
    </row>
    <row r="389" spans="1:5">
      <c r="A389" s="1" t="str">
        <f>"冠修复"</f>
        <v>冠修复</v>
      </c>
      <c r="B389" s="1">
        <v>96</v>
      </c>
      <c r="C389" s="1" t="str">
        <f t="shared" ref="C389:C393" si="107">"每牙"</f>
        <v>每牙</v>
      </c>
      <c r="D389" s="1" t="str">
        <f t="shared" ref="D389:D396" si="108">"每牙"</f>
        <v>每牙</v>
      </c>
      <c r="E389" s="1" t="str">
        <f t="shared" si="103"/>
        <v>治疗费</v>
      </c>
    </row>
    <row r="390" spans="1:5">
      <c r="A390" s="1" t="str">
        <f>"冠修复（种植体冠）"</f>
        <v>冠修复（种植体冠）</v>
      </c>
      <c r="B390" s="1">
        <v>120</v>
      </c>
      <c r="C390" s="1">
        <v>1</v>
      </c>
      <c r="D390" s="1" t="str">
        <f t="shared" si="108"/>
        <v>每牙</v>
      </c>
      <c r="E390" s="1" t="str">
        <f t="shared" si="103"/>
        <v>治疗费</v>
      </c>
    </row>
    <row r="391" spans="1:5">
      <c r="A391" s="1" t="str">
        <f>"冠修复(烤塑冠、塑胶冠)"</f>
        <v>冠修复(烤塑冠、塑胶冠)</v>
      </c>
      <c r="B391" s="1">
        <v>48</v>
      </c>
      <c r="C391" s="1" t="str">
        <f>"-"</f>
        <v>-</v>
      </c>
      <c r="D391" s="1" t="str">
        <f t="shared" si="108"/>
        <v>每牙</v>
      </c>
      <c r="E391" s="1" t="str">
        <f t="shared" si="103"/>
        <v>治疗费</v>
      </c>
    </row>
    <row r="392" spans="1:5">
      <c r="A392" s="1" t="str">
        <f>"嵌体修复"</f>
        <v>嵌体修复</v>
      </c>
      <c r="B392" s="1">
        <v>144</v>
      </c>
      <c r="C392" s="1" t="str">
        <f t="shared" si="107"/>
        <v>每牙</v>
      </c>
      <c r="D392" s="1" t="str">
        <f t="shared" si="108"/>
        <v>每牙</v>
      </c>
      <c r="E392" s="1" t="str">
        <f t="shared" si="103"/>
        <v>治疗费</v>
      </c>
    </row>
    <row r="393" spans="1:5">
      <c r="A393" s="1" t="str">
        <f>"桩核根帽修复"</f>
        <v>桩核根帽修复</v>
      </c>
      <c r="B393" s="1">
        <v>96</v>
      </c>
      <c r="C393" s="1" t="str">
        <f t="shared" si="107"/>
        <v>每牙</v>
      </c>
      <c r="D393" s="1" t="str">
        <f t="shared" si="108"/>
        <v>每牙</v>
      </c>
      <c r="E393" s="1" t="str">
        <f t="shared" si="103"/>
        <v>治疗费</v>
      </c>
    </row>
    <row r="394" spans="1:5">
      <c r="A394" s="1" t="str">
        <f>"贴面修复"</f>
        <v>贴面修复</v>
      </c>
      <c r="B394" s="1">
        <v>84</v>
      </c>
      <c r="C394" s="1" t="str">
        <f>"-"</f>
        <v>-</v>
      </c>
      <c r="D394" s="1" t="str">
        <f t="shared" si="108"/>
        <v>每牙</v>
      </c>
      <c r="E394" s="1" t="str">
        <f t="shared" si="103"/>
        <v>治疗费</v>
      </c>
    </row>
    <row r="395" spans="1:5">
      <c r="A395" s="1" t="str">
        <f>"桩冠修复"</f>
        <v>桩冠修复</v>
      </c>
      <c r="B395" s="1">
        <v>38</v>
      </c>
      <c r="C395" s="1" t="str">
        <f>"每牙"</f>
        <v>每牙</v>
      </c>
      <c r="D395" s="1" t="str">
        <f t="shared" si="108"/>
        <v>每牙</v>
      </c>
      <c r="E395" s="1" t="str">
        <f t="shared" si="103"/>
        <v>治疗费</v>
      </c>
    </row>
    <row r="396" spans="1:5">
      <c r="A396" s="1" t="str">
        <f>"固定桥"</f>
        <v>固定桥</v>
      </c>
      <c r="B396" s="1">
        <v>120</v>
      </c>
      <c r="C396" s="1" t="str">
        <f>"每牙"</f>
        <v>每牙</v>
      </c>
      <c r="D396" s="1" t="str">
        <f t="shared" si="108"/>
        <v>每牙</v>
      </c>
      <c r="E396" s="1" t="str">
        <f t="shared" si="103"/>
        <v>治疗费</v>
      </c>
    </row>
    <row r="397" spans="1:5">
      <c r="A397" s="1" t="str">
        <f>"固定修复计算机辅助设计"</f>
        <v>固定修复计算机辅助设计</v>
      </c>
      <c r="B397" s="1">
        <v>120</v>
      </c>
      <c r="C397" s="1" t="str">
        <f t="shared" ref="C397:C399" si="109">"次"</f>
        <v>次</v>
      </c>
      <c r="D397" s="1" t="str">
        <f t="shared" ref="D397:D399" si="110">"次"</f>
        <v>次</v>
      </c>
      <c r="E397" s="1" t="str">
        <f t="shared" si="103"/>
        <v>治疗费</v>
      </c>
    </row>
    <row r="398" spans="1:5">
      <c r="A398" s="1" t="str">
        <f>"咬合重建"</f>
        <v>咬合重建</v>
      </c>
      <c r="B398" s="1">
        <v>96</v>
      </c>
      <c r="C398" s="1" t="str">
        <f t="shared" si="109"/>
        <v>次</v>
      </c>
      <c r="D398" s="1" t="str">
        <f t="shared" si="110"/>
        <v>次</v>
      </c>
      <c r="E398" s="1" t="str">
        <f t="shared" si="103"/>
        <v>治疗费</v>
      </c>
    </row>
    <row r="399" spans="1:5">
      <c r="A399" s="1" t="str">
        <f>"咬合重建特殊设计费加收"</f>
        <v>咬合重建特殊设计费加收</v>
      </c>
      <c r="B399" s="1">
        <v>30</v>
      </c>
      <c r="C399" s="1" t="str">
        <f t="shared" si="109"/>
        <v>次</v>
      </c>
      <c r="D399" s="1" t="str">
        <f t="shared" si="110"/>
        <v>次</v>
      </c>
      <c r="E399" s="1" t="str">
        <f t="shared" si="103"/>
        <v>治疗费</v>
      </c>
    </row>
    <row r="400" spans="1:5">
      <c r="A400" s="1" t="str">
        <f>"粘结"</f>
        <v>粘结</v>
      </c>
      <c r="B400" s="1">
        <v>3.6</v>
      </c>
      <c r="C400" s="1" t="str">
        <f>"牙"</f>
        <v>牙</v>
      </c>
      <c r="D400" s="1" t="str">
        <f t="shared" ref="D400:D404" si="111">"每牙"</f>
        <v>每牙</v>
      </c>
      <c r="E400" s="1" t="str">
        <f t="shared" si="103"/>
        <v>治疗费</v>
      </c>
    </row>
    <row r="401" spans="1:5">
      <c r="A401" s="1" t="str">
        <f>"活动桥"</f>
        <v>活动桥</v>
      </c>
      <c r="B401" s="1">
        <v>60</v>
      </c>
      <c r="C401" s="1" t="str">
        <f t="shared" ref="C401:C404" si="112">"每牙"</f>
        <v>每牙</v>
      </c>
      <c r="D401" s="1" t="str">
        <f t="shared" si="111"/>
        <v>每牙</v>
      </c>
      <c r="E401" s="1" t="str">
        <f t="shared" si="103"/>
        <v>治疗费</v>
      </c>
    </row>
    <row r="402" spans="1:5">
      <c r="A402" s="1" t="str">
        <f>"活动桥每增加牙、卡环加收"</f>
        <v>活动桥每增加牙、卡环加收</v>
      </c>
      <c r="B402" s="1">
        <v>24</v>
      </c>
      <c r="C402" s="1" t="str">
        <f t="shared" si="112"/>
        <v>每牙</v>
      </c>
      <c r="D402" s="1" t="str">
        <f t="shared" si="111"/>
        <v>每牙</v>
      </c>
      <c r="E402" s="1" t="str">
        <f t="shared" si="103"/>
        <v>治疗费</v>
      </c>
    </row>
    <row r="403" spans="1:5">
      <c r="A403" s="1" t="str">
        <f>"塑料可摘局部义齿"</f>
        <v>塑料可摘局部义齿</v>
      </c>
      <c r="B403" s="1">
        <v>96</v>
      </c>
      <c r="C403" s="1" t="str">
        <f t="shared" si="112"/>
        <v>每牙</v>
      </c>
      <c r="D403" s="1" t="str">
        <f t="shared" si="111"/>
        <v>每牙</v>
      </c>
      <c r="E403" s="1" t="str">
        <f t="shared" si="103"/>
        <v>治疗费</v>
      </c>
    </row>
    <row r="404" spans="1:5">
      <c r="A404" s="1" t="str">
        <f>"铸造可摘局部义齿"</f>
        <v>铸造可摘局部义齿</v>
      </c>
      <c r="B404" s="1">
        <v>240</v>
      </c>
      <c r="C404" s="1" t="str">
        <f t="shared" si="112"/>
        <v>每牙</v>
      </c>
      <c r="D404" s="1" t="str">
        <f t="shared" si="111"/>
        <v>每牙</v>
      </c>
      <c r="E404" s="1" t="str">
        <f t="shared" si="103"/>
        <v>治疗费</v>
      </c>
    </row>
    <row r="405" spans="1:5">
      <c r="A405" s="1" t="str">
        <f>"美容义齿(套筒冠义齿)"</f>
        <v>美容义齿(套筒冠义齿)</v>
      </c>
      <c r="B405" s="1">
        <v>1000</v>
      </c>
      <c r="C405" s="1" t="str">
        <f>"项"</f>
        <v>项</v>
      </c>
      <c r="D405" s="1" t="str">
        <f>"项"</f>
        <v>项</v>
      </c>
      <c r="E405" s="1" t="str">
        <f>"治疗费(含材料费)"</f>
        <v>治疗费(含材料费)</v>
      </c>
    </row>
    <row r="406" spans="1:5">
      <c r="A406" s="1" t="str">
        <f>"美容义齿（贱金属烧烤瓷冠）"</f>
        <v>美容义齿（贱金属烧烤瓷冠）</v>
      </c>
      <c r="B406" s="1">
        <v>400</v>
      </c>
      <c r="C406" s="1" t="str">
        <f>"-"</f>
        <v>-</v>
      </c>
      <c r="D406" s="1" t="str">
        <f t="shared" ref="D406:D430" si="113">"每牙"</f>
        <v>每牙</v>
      </c>
      <c r="E406" s="1" t="str">
        <f t="shared" ref="E406:E416" si="114">"治疗费"</f>
        <v>治疗费</v>
      </c>
    </row>
    <row r="407" spans="1:5">
      <c r="A407" s="1" t="str">
        <f>"美容义齿(隐形义齿)"</f>
        <v>美容义齿(隐形义齿)</v>
      </c>
      <c r="B407" s="1">
        <v>250</v>
      </c>
      <c r="C407" s="1" t="str">
        <f>"项"</f>
        <v>项</v>
      </c>
      <c r="D407" s="1" t="str">
        <f>"项"</f>
        <v>项</v>
      </c>
      <c r="E407" s="1" t="str">
        <f>"治疗费(含材料费)"</f>
        <v>治疗费(含材料费)</v>
      </c>
    </row>
    <row r="408" spans="1:5">
      <c r="A408" s="1" t="str">
        <f>"美容义齿(隐形义齿)"</f>
        <v>美容义齿(隐形义齿)</v>
      </c>
      <c r="B408" s="1">
        <v>400</v>
      </c>
      <c r="C408" s="1" t="str">
        <f t="shared" ref="C408:C416" si="115">"/"</f>
        <v>/</v>
      </c>
      <c r="D408" s="1" t="str">
        <f t="shared" si="113"/>
        <v>每牙</v>
      </c>
      <c r="E408" s="1" t="str">
        <f t="shared" si="114"/>
        <v>治疗费</v>
      </c>
    </row>
    <row r="409" spans="1:5">
      <c r="A409" s="1" t="str">
        <f>"美容义齿(美晶全瓷)"</f>
        <v>美容义齿(美晶全瓷)</v>
      </c>
      <c r="B409" s="1">
        <v>2000</v>
      </c>
      <c r="C409" s="1" t="str">
        <f t="shared" si="115"/>
        <v>/</v>
      </c>
      <c r="D409" s="1" t="str">
        <f t="shared" si="113"/>
        <v>每牙</v>
      </c>
      <c r="E409" s="1" t="str">
        <f t="shared" si="114"/>
        <v>治疗费</v>
      </c>
    </row>
    <row r="410" spans="1:5">
      <c r="A410" s="1" t="str">
        <f>"美容义齿(威兰德全瓷)"</f>
        <v>美容义齿(威兰德全瓷)</v>
      </c>
      <c r="B410" s="1">
        <v>2800</v>
      </c>
      <c r="C410" s="1" t="str">
        <f t="shared" si="115"/>
        <v>/</v>
      </c>
      <c r="D410" s="1" t="str">
        <f t="shared" si="113"/>
        <v>每牙</v>
      </c>
      <c r="E410" s="1" t="str">
        <f t="shared" si="114"/>
        <v>治疗费</v>
      </c>
    </row>
    <row r="411" spans="1:5">
      <c r="A411" s="1" t="str">
        <f>"美容义齿(3M拉瓦全瓷)"</f>
        <v>美容义齿(3M拉瓦全瓷)</v>
      </c>
      <c r="B411" s="1">
        <v>3600</v>
      </c>
      <c r="C411" s="1" t="str">
        <f t="shared" si="115"/>
        <v>/</v>
      </c>
      <c r="D411" s="1" t="str">
        <f t="shared" si="113"/>
        <v>每牙</v>
      </c>
      <c r="E411" s="1" t="str">
        <f t="shared" si="114"/>
        <v>治疗费</v>
      </c>
    </row>
    <row r="412" spans="1:5">
      <c r="A412" s="1" t="str">
        <f>"美容义齿(钴铬烤瓷冠)"</f>
        <v>美容义齿(钴铬烤瓷冠)</v>
      </c>
      <c r="B412" s="1">
        <v>800</v>
      </c>
      <c r="C412" s="1" t="str">
        <f t="shared" si="115"/>
        <v>/</v>
      </c>
      <c r="D412" s="1" t="str">
        <f t="shared" si="113"/>
        <v>每牙</v>
      </c>
      <c r="E412" s="1" t="str">
        <f t="shared" si="114"/>
        <v>治疗费</v>
      </c>
    </row>
    <row r="413" spans="1:5">
      <c r="A413" s="1" t="str">
        <f>"美容义齿(纤维桩)"</f>
        <v>美容义齿(纤维桩)</v>
      </c>
      <c r="B413" s="1">
        <v>400</v>
      </c>
      <c r="C413" s="1" t="str">
        <f t="shared" si="115"/>
        <v>/</v>
      </c>
      <c r="D413" s="1" t="str">
        <f t="shared" si="113"/>
        <v>每牙</v>
      </c>
      <c r="E413" s="1" t="str">
        <f t="shared" si="114"/>
        <v>治疗费</v>
      </c>
    </row>
    <row r="414" spans="1:5">
      <c r="A414" s="1" t="str">
        <f>"美容义齿(特殊临时冠桥)"</f>
        <v>美容义齿(特殊临时冠桥)</v>
      </c>
      <c r="B414" s="1">
        <v>50</v>
      </c>
      <c r="C414" s="1" t="str">
        <f t="shared" si="115"/>
        <v>/</v>
      </c>
      <c r="D414" s="1" t="str">
        <f t="shared" si="113"/>
        <v>每牙</v>
      </c>
      <c r="E414" s="1" t="str">
        <f t="shared" si="114"/>
        <v>治疗费</v>
      </c>
    </row>
    <row r="415" spans="1:5">
      <c r="A415" s="1" t="str">
        <f>"美容义齿(维他灵大支架)"</f>
        <v>美容义齿(维他灵大支架)</v>
      </c>
      <c r="B415" s="1">
        <v>4000</v>
      </c>
      <c r="C415" s="1" t="str">
        <f t="shared" si="115"/>
        <v>/</v>
      </c>
      <c r="D415" s="1" t="str">
        <f t="shared" si="113"/>
        <v>每牙</v>
      </c>
      <c r="E415" s="1" t="str">
        <f t="shared" si="114"/>
        <v>治疗费</v>
      </c>
    </row>
    <row r="416" spans="1:5">
      <c r="A416" s="1" t="str">
        <f>"美容义齿(维他灵中支架)"</f>
        <v>美容义齿(维他灵中支架)</v>
      </c>
      <c r="B416" s="1">
        <v>3500</v>
      </c>
      <c r="C416" s="1" t="str">
        <f t="shared" si="115"/>
        <v>/</v>
      </c>
      <c r="D416" s="1" t="str">
        <f t="shared" si="113"/>
        <v>每牙</v>
      </c>
      <c r="E416" s="1" t="str">
        <f t="shared" si="114"/>
        <v>治疗费</v>
      </c>
    </row>
    <row r="417" spans="1:5">
      <c r="A417" s="1" t="str">
        <f>"美容义齿（金属烤瓷）"</f>
        <v>美容义齿（金属烤瓷）</v>
      </c>
      <c r="B417" s="1">
        <v>750</v>
      </c>
      <c r="C417" s="1" t="str">
        <f t="shared" ref="C417:C438" si="116">"每牙"</f>
        <v>每牙</v>
      </c>
      <c r="D417" s="1" t="str">
        <f t="shared" si="113"/>
        <v>每牙</v>
      </c>
      <c r="E417" s="1" t="str">
        <f t="shared" ref="E417:E438" si="117">"治疗费(含材料费)"</f>
        <v>治疗费(含材料费)</v>
      </c>
    </row>
    <row r="418" spans="1:5">
      <c r="A418" s="1" t="str">
        <f>"美容义齿（隐形义齿）"</f>
        <v>美容义齿（隐形义齿）</v>
      </c>
      <c r="B418" s="1">
        <v>500</v>
      </c>
      <c r="C418" s="1" t="str">
        <f t="shared" si="116"/>
        <v>每牙</v>
      </c>
      <c r="D418" s="1" t="str">
        <f t="shared" si="113"/>
        <v>每牙</v>
      </c>
      <c r="E418" s="1" t="str">
        <f t="shared" si="117"/>
        <v>治疗费(含材料费)</v>
      </c>
    </row>
    <row r="419" spans="1:5">
      <c r="A419" s="1" t="str">
        <f>"美容义齿（纤维桩核）"</f>
        <v>美容义齿（纤维桩核）</v>
      </c>
      <c r="B419" s="1">
        <v>450</v>
      </c>
      <c r="C419" s="1" t="str">
        <f t="shared" si="116"/>
        <v>每牙</v>
      </c>
      <c r="D419" s="1" t="str">
        <f t="shared" si="113"/>
        <v>每牙</v>
      </c>
      <c r="E419" s="1" t="str">
        <f t="shared" si="117"/>
        <v>治疗费(含材料费)</v>
      </c>
    </row>
    <row r="420" spans="1:5">
      <c r="A420" s="1" t="str">
        <f>"美容义齿（铸瓷全冠）"</f>
        <v>美容义齿（铸瓷全冠）</v>
      </c>
      <c r="B420" s="1">
        <v>2500</v>
      </c>
      <c r="C420" s="1" t="str">
        <f t="shared" si="116"/>
        <v>每牙</v>
      </c>
      <c r="D420" s="1" t="str">
        <f t="shared" si="113"/>
        <v>每牙</v>
      </c>
      <c r="E420" s="1" t="str">
        <f t="shared" si="117"/>
        <v>治疗费(含材料费)</v>
      </c>
    </row>
    <row r="421" spans="1:5">
      <c r="A421" s="1" t="str">
        <f>"美容义齿（全瓷核）"</f>
        <v>美容义齿（全瓷核）</v>
      </c>
      <c r="B421" s="1">
        <v>1500</v>
      </c>
      <c r="C421" s="1" t="str">
        <f t="shared" si="116"/>
        <v>每牙</v>
      </c>
      <c r="D421" s="1" t="str">
        <f t="shared" si="113"/>
        <v>每牙</v>
      </c>
      <c r="E421" s="1" t="str">
        <f t="shared" si="117"/>
        <v>治疗费(含材料费)</v>
      </c>
    </row>
    <row r="422" spans="1:5">
      <c r="A422" s="1" t="str">
        <f>"美容义齿（超瓷冠）"</f>
        <v>美容义齿（超瓷冠）</v>
      </c>
      <c r="B422" s="1">
        <v>1000</v>
      </c>
      <c r="C422" s="1" t="str">
        <f t="shared" si="116"/>
        <v>每牙</v>
      </c>
      <c r="D422" s="1" t="str">
        <f t="shared" si="113"/>
        <v>每牙</v>
      </c>
      <c r="E422" s="1" t="str">
        <f t="shared" si="117"/>
        <v>治疗费(含材料费)</v>
      </c>
    </row>
    <row r="423" spans="1:5">
      <c r="A423" s="1" t="str">
        <f>"美容义齿（计算机全瓷1）"</f>
        <v>美容义齿（计算机全瓷1）</v>
      </c>
      <c r="B423" s="1">
        <v>2000</v>
      </c>
      <c r="C423" s="1" t="str">
        <f t="shared" si="116"/>
        <v>每牙</v>
      </c>
      <c r="D423" s="1" t="str">
        <f t="shared" si="113"/>
        <v>每牙</v>
      </c>
      <c r="E423" s="1" t="str">
        <f t="shared" si="117"/>
        <v>治疗费(含材料费)</v>
      </c>
    </row>
    <row r="424" spans="1:5">
      <c r="A424" s="1" t="str">
        <f>"美容义齿（计算机全瓷2）"</f>
        <v>美容义齿（计算机全瓷2）</v>
      </c>
      <c r="B424" s="1">
        <v>2500</v>
      </c>
      <c r="C424" s="1" t="str">
        <f t="shared" si="116"/>
        <v>每牙</v>
      </c>
      <c r="D424" s="1" t="str">
        <f t="shared" si="113"/>
        <v>每牙</v>
      </c>
      <c r="E424" s="1" t="str">
        <f t="shared" si="117"/>
        <v>治疗费(含材料费)</v>
      </c>
    </row>
    <row r="425" spans="1:5">
      <c r="A425" s="1" t="str">
        <f>"美容义齿（计算机全瓷3）"</f>
        <v>美容义齿（计算机全瓷3）</v>
      </c>
      <c r="B425" s="1">
        <v>3000</v>
      </c>
      <c r="C425" s="1" t="str">
        <f t="shared" si="116"/>
        <v>每牙</v>
      </c>
      <c r="D425" s="1" t="str">
        <f t="shared" si="113"/>
        <v>每牙</v>
      </c>
      <c r="E425" s="1" t="str">
        <f t="shared" si="117"/>
        <v>治疗费(含材料费)</v>
      </c>
    </row>
    <row r="426" spans="1:5">
      <c r="A426" s="1" t="str">
        <f>"美容义齿（计算机全瓷4）"</f>
        <v>美容义齿（计算机全瓷4）</v>
      </c>
      <c r="B426" s="1">
        <v>3000</v>
      </c>
      <c r="C426" s="1" t="str">
        <f t="shared" si="116"/>
        <v>每牙</v>
      </c>
      <c r="D426" s="1" t="str">
        <f t="shared" si="113"/>
        <v>每牙</v>
      </c>
      <c r="E426" s="1" t="str">
        <f t="shared" si="117"/>
        <v>治疗费(含材料费)</v>
      </c>
    </row>
    <row r="427" spans="1:5">
      <c r="A427" s="1" t="str">
        <f>"美容义齿（计算机全瓷5）"</f>
        <v>美容义齿（计算机全瓷5）</v>
      </c>
      <c r="B427" s="1">
        <v>5000</v>
      </c>
      <c r="C427" s="1" t="str">
        <f t="shared" si="116"/>
        <v>每牙</v>
      </c>
      <c r="D427" s="1" t="str">
        <f t="shared" si="113"/>
        <v>每牙</v>
      </c>
      <c r="E427" s="1" t="str">
        <f t="shared" si="117"/>
        <v>治疗费(含材料费)</v>
      </c>
    </row>
    <row r="428" spans="1:5">
      <c r="A428" s="1" t="str">
        <f>"美容义齿（隐形义齿增加一牙）"</f>
        <v>美容义齿（隐形义齿增加一牙）</v>
      </c>
      <c r="B428" s="1">
        <v>100</v>
      </c>
      <c r="C428" s="1" t="str">
        <f t="shared" si="116"/>
        <v>每牙</v>
      </c>
      <c r="D428" s="1" t="str">
        <f t="shared" si="113"/>
        <v>每牙</v>
      </c>
      <c r="E428" s="1" t="str">
        <f t="shared" si="117"/>
        <v>治疗费(含材料费)</v>
      </c>
    </row>
    <row r="429" spans="1:5">
      <c r="A429" s="1" t="str">
        <f>"美容义齿（纯钛大支架1）"</f>
        <v>美容义齿（纯钛大支架1）</v>
      </c>
      <c r="B429" s="1">
        <v>3000</v>
      </c>
      <c r="C429" s="1" t="str">
        <f t="shared" si="116"/>
        <v>每牙</v>
      </c>
      <c r="D429" s="1" t="str">
        <f t="shared" si="113"/>
        <v>每牙</v>
      </c>
      <c r="E429" s="1" t="str">
        <f t="shared" si="117"/>
        <v>治疗费(含材料费)</v>
      </c>
    </row>
    <row r="430" spans="1:5">
      <c r="A430" s="1" t="str">
        <f>"美容义齿（纯钛大支架2）"</f>
        <v>美容义齿（纯钛大支架2）</v>
      </c>
      <c r="B430" s="1">
        <v>5000</v>
      </c>
      <c r="C430" s="1" t="str">
        <f t="shared" si="116"/>
        <v>每牙</v>
      </c>
      <c r="D430" s="1" t="str">
        <f t="shared" si="113"/>
        <v>每牙</v>
      </c>
      <c r="E430" s="1" t="str">
        <f t="shared" si="117"/>
        <v>治疗费(含材料费)</v>
      </c>
    </row>
    <row r="431" spans="1:5">
      <c r="A431" s="1" t="str">
        <f>"美容义齿（纯钛小支架）"</f>
        <v>美容义齿（纯钛小支架）</v>
      </c>
      <c r="B431" s="1">
        <v>800</v>
      </c>
      <c r="C431" s="1" t="str">
        <f t="shared" si="116"/>
        <v>每牙</v>
      </c>
      <c r="D431" s="1" t="str">
        <f>"每件"</f>
        <v>每件</v>
      </c>
      <c r="E431" s="1" t="str">
        <f t="shared" si="117"/>
        <v>治疗费(含材料费)</v>
      </c>
    </row>
    <row r="432" spans="1:5">
      <c r="A432" s="1" t="str">
        <f>"美容义齿（瓷嵌体1）"</f>
        <v>美容义齿（瓷嵌体1）</v>
      </c>
      <c r="B432" s="1">
        <v>2000</v>
      </c>
      <c r="C432" s="1" t="str">
        <f t="shared" si="116"/>
        <v>每牙</v>
      </c>
      <c r="D432" s="1" t="str">
        <f t="shared" ref="D432:D440" si="118">"每牙"</f>
        <v>每牙</v>
      </c>
      <c r="E432" s="1" t="str">
        <f t="shared" si="117"/>
        <v>治疗费(含材料费)</v>
      </c>
    </row>
    <row r="433" spans="1:5">
      <c r="A433" s="1" t="str">
        <f>"美容义齿（瓷嵌体2）"</f>
        <v>美容义齿（瓷嵌体2）</v>
      </c>
      <c r="B433" s="1">
        <v>2500</v>
      </c>
      <c r="C433" s="1" t="str">
        <f t="shared" si="116"/>
        <v>每牙</v>
      </c>
      <c r="D433" s="1" t="str">
        <f t="shared" si="118"/>
        <v>每牙</v>
      </c>
      <c r="E433" s="1" t="str">
        <f t="shared" si="117"/>
        <v>治疗费(含材料费)</v>
      </c>
    </row>
    <row r="434" spans="1:5">
      <c r="A434" s="1" t="str">
        <f>"美容义齿（瓷嵌体3）"</f>
        <v>美容义齿（瓷嵌体3）</v>
      </c>
      <c r="B434" s="1">
        <v>3000</v>
      </c>
      <c r="C434" s="1" t="str">
        <f t="shared" si="116"/>
        <v>每牙</v>
      </c>
      <c r="D434" s="1" t="str">
        <f t="shared" si="118"/>
        <v>每牙</v>
      </c>
      <c r="E434" s="1" t="str">
        <f t="shared" si="117"/>
        <v>治疗费(含材料费)</v>
      </c>
    </row>
    <row r="435" spans="1:5">
      <c r="A435" s="1" t="str">
        <f>"美容义齿（四层色美容修复总义齿）"</f>
        <v>美容义齿（四层色美容修复总义齿）</v>
      </c>
      <c r="B435" s="1">
        <v>1200</v>
      </c>
      <c r="C435" s="1" t="str">
        <f t="shared" si="116"/>
        <v>每牙</v>
      </c>
      <c r="D435" s="1" t="str">
        <f t="shared" si="118"/>
        <v>每牙</v>
      </c>
      <c r="E435" s="1" t="str">
        <f t="shared" si="117"/>
        <v>治疗费(含材料费)</v>
      </c>
    </row>
    <row r="436" spans="1:5">
      <c r="A436" s="1" t="str">
        <f>"四层色美容修复义齿"</f>
        <v>四层色美容修复义齿</v>
      </c>
      <c r="B436" s="1">
        <v>100</v>
      </c>
      <c r="C436" s="1" t="str">
        <f t="shared" si="116"/>
        <v>每牙</v>
      </c>
      <c r="D436" s="1" t="str">
        <f t="shared" si="118"/>
        <v>每牙</v>
      </c>
      <c r="E436" s="1" t="str">
        <f t="shared" si="117"/>
        <v>治疗费(含材料费)</v>
      </c>
    </row>
    <row r="437" spans="1:5">
      <c r="A437" s="1" t="str">
        <f>"三层色美容修复义齿"</f>
        <v>三层色美容修复义齿</v>
      </c>
      <c r="B437" s="1">
        <v>50</v>
      </c>
      <c r="C437" s="1" t="str">
        <f t="shared" si="116"/>
        <v>每牙</v>
      </c>
      <c r="D437" s="1" t="str">
        <f t="shared" si="118"/>
        <v>每牙</v>
      </c>
      <c r="E437" s="1" t="str">
        <f t="shared" si="117"/>
        <v>治疗费(含材料费)</v>
      </c>
    </row>
    <row r="438" spans="1:5">
      <c r="A438" s="1" t="str">
        <f>"三层色美容修复义齿（单颌）"</f>
        <v>三层色美容修复义齿（单颌）</v>
      </c>
      <c r="B438" s="1">
        <v>600</v>
      </c>
      <c r="C438" s="1" t="str">
        <f t="shared" si="116"/>
        <v>每牙</v>
      </c>
      <c r="D438" s="1" t="str">
        <f t="shared" si="118"/>
        <v>每牙</v>
      </c>
      <c r="E438" s="1" t="str">
        <f t="shared" si="117"/>
        <v>治疗费(含材料费)</v>
      </c>
    </row>
    <row r="439" spans="1:5">
      <c r="A439" s="1" t="str">
        <f>"即刻义齿"</f>
        <v>即刻义齿</v>
      </c>
      <c r="B439" s="1">
        <v>19</v>
      </c>
      <c r="C439" s="1" t="str">
        <f t="shared" ref="C439:C444" si="119">"-"</f>
        <v>-</v>
      </c>
      <c r="D439" s="1" t="str">
        <f t="shared" si="118"/>
        <v>每牙</v>
      </c>
      <c r="E439" s="1" t="str">
        <f t="shared" ref="E439:E489" si="120">"治疗费"</f>
        <v>治疗费</v>
      </c>
    </row>
    <row r="440" spans="1:5">
      <c r="A440" s="1" t="str">
        <f>"附着体义齿"</f>
        <v>附着体义齿</v>
      </c>
      <c r="B440" s="1">
        <v>180</v>
      </c>
      <c r="C440" s="1" t="str">
        <f t="shared" si="119"/>
        <v>-</v>
      </c>
      <c r="D440" s="1" t="str">
        <f t="shared" si="118"/>
        <v>每牙</v>
      </c>
      <c r="E440" s="1" t="str">
        <f t="shared" si="120"/>
        <v>治疗费</v>
      </c>
    </row>
    <row r="441" spans="1:5">
      <c r="A441" s="1" t="str">
        <f>"总义齿"</f>
        <v>总义齿</v>
      </c>
      <c r="B441" s="1">
        <v>360</v>
      </c>
      <c r="C441" s="1">
        <v>1</v>
      </c>
      <c r="D441" s="1" t="str">
        <f>"单颌"</f>
        <v>单颌</v>
      </c>
      <c r="E441" s="1" t="str">
        <f t="shared" si="120"/>
        <v>治疗费</v>
      </c>
    </row>
    <row r="442" spans="1:5">
      <c r="A442" s="1" t="str">
        <f>"拆冠桥（锤造冠）"</f>
        <v>拆冠桥（锤造冠）</v>
      </c>
      <c r="B442" s="1">
        <v>12</v>
      </c>
      <c r="C442" s="1" t="str">
        <f t="shared" ref="C442:C447" si="121">"每牙"</f>
        <v>每牙</v>
      </c>
      <c r="D442" s="1" t="str">
        <f t="shared" ref="D442:D444" si="122">"每牙"</f>
        <v>每牙</v>
      </c>
      <c r="E442" s="1" t="str">
        <f t="shared" si="120"/>
        <v>治疗费</v>
      </c>
    </row>
    <row r="443" spans="1:5">
      <c r="A443" s="1" t="str">
        <f>"拆冠桥（铸造冠）"</f>
        <v>拆冠桥（铸造冠）</v>
      </c>
      <c r="B443" s="1">
        <v>18</v>
      </c>
      <c r="C443" s="1" t="str">
        <f t="shared" si="121"/>
        <v>每牙</v>
      </c>
      <c r="D443" s="1" t="str">
        <f t="shared" si="122"/>
        <v>每牙</v>
      </c>
      <c r="E443" s="1" t="str">
        <f t="shared" si="120"/>
        <v>治疗费</v>
      </c>
    </row>
    <row r="444" spans="1:5">
      <c r="A444" s="1" t="str">
        <f>"拆桩"</f>
        <v>拆桩</v>
      </c>
      <c r="B444" s="1">
        <v>12</v>
      </c>
      <c r="C444" s="1" t="str">
        <f t="shared" si="119"/>
        <v>-</v>
      </c>
      <c r="D444" s="1" t="str">
        <f t="shared" si="122"/>
        <v>每牙</v>
      </c>
      <c r="E444" s="1" t="str">
        <f t="shared" si="120"/>
        <v>治疗费</v>
      </c>
    </row>
    <row r="445" spans="1:5">
      <c r="A445" s="1" t="str">
        <f>"加焊"</f>
        <v>加焊</v>
      </c>
      <c r="B445" s="1">
        <v>1.2</v>
      </c>
      <c r="C445" s="1" t="str">
        <f>"每个取材部"</f>
        <v>每个取材部</v>
      </c>
      <c r="D445" s="1" t="str">
        <f>"每个取材部"</f>
        <v>每个取材部</v>
      </c>
      <c r="E445" s="1" t="str">
        <f t="shared" si="120"/>
        <v>治疗费</v>
      </c>
    </row>
    <row r="446" spans="1:5">
      <c r="A446" s="1" t="str">
        <f>"加焊＞2mm加收、激光焊接加收"</f>
        <v>加焊＞2mm加收、激光焊接加收</v>
      </c>
      <c r="B446" s="1">
        <v>1</v>
      </c>
      <c r="C446" s="1" t="str">
        <f t="shared" si="121"/>
        <v>每牙</v>
      </c>
      <c r="D446" s="1" t="str">
        <f t="shared" ref="D446:D448" si="123">"每牙"</f>
        <v>每牙</v>
      </c>
      <c r="E446" s="1" t="str">
        <f t="shared" si="120"/>
        <v>治疗费</v>
      </c>
    </row>
    <row r="447" spans="1:5">
      <c r="A447" s="1" t="str">
        <f>"加装饰面"</f>
        <v>加装饰面</v>
      </c>
      <c r="B447" s="1">
        <v>2.4</v>
      </c>
      <c r="C447" s="1" t="str">
        <f t="shared" si="121"/>
        <v>每牙</v>
      </c>
      <c r="D447" s="1" t="str">
        <f t="shared" si="123"/>
        <v>每牙</v>
      </c>
      <c r="E447" s="1" t="str">
        <f t="shared" si="120"/>
        <v>治疗费</v>
      </c>
    </row>
    <row r="448" spans="1:5">
      <c r="A448" s="1" t="str">
        <f>"烤瓷冠崩瓷修理"</f>
        <v>烤瓷冠崩瓷修理</v>
      </c>
      <c r="B448" s="1">
        <v>14</v>
      </c>
      <c r="C448" s="1" t="str">
        <f t="shared" ref="C448:C453" si="124">"-"</f>
        <v>-</v>
      </c>
      <c r="D448" s="1" t="str">
        <f t="shared" si="123"/>
        <v>每牙</v>
      </c>
      <c r="E448" s="1" t="str">
        <f t="shared" si="120"/>
        <v>治疗费</v>
      </c>
    </row>
    <row r="449" spans="1:5">
      <c r="A449" s="1" t="str">
        <f>"调改义齿"</f>
        <v>调改义齿</v>
      </c>
      <c r="B449" s="1">
        <v>3.6</v>
      </c>
      <c r="C449" s="1" t="str">
        <f t="shared" si="124"/>
        <v>-</v>
      </c>
      <c r="D449" s="1" t="str">
        <f t="shared" ref="D449:D451" si="125">"次"</f>
        <v>次</v>
      </c>
      <c r="E449" s="1" t="str">
        <f t="shared" si="120"/>
        <v>治疗费</v>
      </c>
    </row>
    <row r="450" spans="1:5">
      <c r="A450" s="1" t="str">
        <f>"取局部关系记录"</f>
        <v>取局部关系记录</v>
      </c>
      <c r="B450" s="1">
        <v>12</v>
      </c>
      <c r="C450" s="1" t="str">
        <f t="shared" ref="C450:C454" si="126">"次"</f>
        <v>次</v>
      </c>
      <c r="D450" s="1" t="str">
        <f t="shared" si="125"/>
        <v>次</v>
      </c>
      <c r="E450" s="1" t="str">
        <f t="shared" si="120"/>
        <v>治疗费</v>
      </c>
    </row>
    <row r="451" spans="1:5">
      <c r="A451" s="1" t="str">
        <f>"取正中关系记录"</f>
        <v>取正中关系记录</v>
      </c>
      <c r="B451" s="1">
        <v>36</v>
      </c>
      <c r="C451" s="1" t="str">
        <f t="shared" si="126"/>
        <v>次</v>
      </c>
      <c r="D451" s="1" t="str">
        <f t="shared" si="125"/>
        <v>次</v>
      </c>
      <c r="E451" s="1" t="str">
        <f t="shared" si="120"/>
        <v>治疗费</v>
      </c>
    </row>
    <row r="452" spans="1:5">
      <c r="A452" s="1" t="str">
        <f>"加人工牙"</f>
        <v>加人工牙</v>
      </c>
      <c r="B452" s="1">
        <v>18</v>
      </c>
      <c r="C452" s="1" t="str">
        <f t="shared" si="124"/>
        <v>-</v>
      </c>
      <c r="D452" s="1" t="str">
        <f>"每牙"</f>
        <v>每牙</v>
      </c>
      <c r="E452" s="1" t="str">
        <f t="shared" si="120"/>
        <v>治疗费</v>
      </c>
    </row>
    <row r="453" spans="1:5">
      <c r="A453" s="1" t="str">
        <f>"义齿接长基托"</f>
        <v>义齿接长基托</v>
      </c>
      <c r="B453" s="1">
        <v>12</v>
      </c>
      <c r="C453" s="1" t="str">
        <f t="shared" si="124"/>
        <v>-</v>
      </c>
      <c r="D453" s="1" t="str">
        <f t="shared" ref="D453:D462" si="127">"次"</f>
        <v>次</v>
      </c>
      <c r="E453" s="1" t="str">
        <f t="shared" si="120"/>
        <v>治疗费</v>
      </c>
    </row>
    <row r="454" spans="1:5">
      <c r="A454" s="1" t="str">
        <f>"义齿裂纹及折裂修理"</f>
        <v>义齿裂纹及折裂修理</v>
      </c>
      <c r="B454" s="1">
        <v>24</v>
      </c>
      <c r="C454" s="1" t="str">
        <f t="shared" si="126"/>
        <v>次</v>
      </c>
      <c r="D454" s="1" t="str">
        <f t="shared" si="127"/>
        <v>次</v>
      </c>
      <c r="E454" s="1" t="str">
        <f t="shared" si="120"/>
        <v>治疗费</v>
      </c>
    </row>
    <row r="455" spans="1:5">
      <c r="A455" s="1" t="str">
        <f>"义齿组织面重衬"</f>
        <v>义齿组织面重衬</v>
      </c>
      <c r="B455" s="1">
        <v>6</v>
      </c>
      <c r="C455" s="1" t="str">
        <f>"厘米"</f>
        <v>厘米</v>
      </c>
      <c r="D455" s="1" t="str">
        <f>"每厘米"</f>
        <v>每厘米</v>
      </c>
      <c r="E455" s="1" t="str">
        <f t="shared" si="120"/>
        <v>治疗费</v>
      </c>
    </row>
    <row r="456" spans="1:5">
      <c r="A456" s="1" t="str">
        <f>"加卡环"</f>
        <v>加卡环</v>
      </c>
      <c r="B456" s="1">
        <v>12</v>
      </c>
      <c r="C456" s="1" t="str">
        <f>"-"</f>
        <v>-</v>
      </c>
      <c r="D456" s="1" t="str">
        <f>"每卡环"</f>
        <v>每卡环</v>
      </c>
      <c r="E456" s="1" t="str">
        <f t="shared" si="120"/>
        <v>治疗费</v>
      </c>
    </row>
    <row r="457" spans="1:5">
      <c r="A457" s="1" t="str">
        <f>"增加铸造基托"</f>
        <v>增加铸造基托</v>
      </c>
      <c r="B457" s="1">
        <v>26</v>
      </c>
      <c r="C457" s="1" t="str">
        <f>"5＋5"</f>
        <v>5＋5</v>
      </c>
      <c r="D457" s="1" t="str">
        <f>"个"</f>
        <v>个</v>
      </c>
      <c r="E457" s="1" t="str">
        <f t="shared" si="120"/>
        <v>治疗费</v>
      </c>
    </row>
    <row r="458" spans="1:5">
      <c r="A458" s="1" t="str">
        <f>"加合(代)颌支托"</f>
        <v>加合(代)颌支托</v>
      </c>
      <c r="B458" s="1">
        <v>18</v>
      </c>
      <c r="C458" s="1">
        <v>1</v>
      </c>
      <c r="D458" s="1" t="str">
        <f t="shared" si="127"/>
        <v>次</v>
      </c>
      <c r="E458" s="1" t="str">
        <f t="shared" si="120"/>
        <v>治疗费</v>
      </c>
    </row>
    <row r="459" spans="1:5">
      <c r="A459" s="1" t="str">
        <f>"加铸颌合（代）面"</f>
        <v>加铸颌合（代）面</v>
      </c>
      <c r="B459" s="1">
        <v>48</v>
      </c>
      <c r="C459" s="1" t="str">
        <f>"-"</f>
        <v>-</v>
      </c>
      <c r="D459" s="1" t="str">
        <f t="shared" si="127"/>
        <v>次</v>
      </c>
      <c r="E459" s="1" t="str">
        <f t="shared" si="120"/>
        <v>治疗费</v>
      </c>
    </row>
    <row r="460" spans="1:5">
      <c r="A460" s="1" t="str">
        <f>"增加加固装置"</f>
        <v>增加加固装置</v>
      </c>
      <c r="B460" s="1">
        <v>8.4</v>
      </c>
      <c r="C460" s="1" t="str">
        <f>"次"</f>
        <v>次</v>
      </c>
      <c r="D460" s="1" t="str">
        <f t="shared" si="127"/>
        <v>次</v>
      </c>
      <c r="E460" s="1" t="str">
        <f t="shared" si="120"/>
        <v>治疗费</v>
      </c>
    </row>
    <row r="461" spans="1:5">
      <c r="A461" s="1" t="str">
        <f>"加连接杆"</f>
        <v>加连接杆</v>
      </c>
      <c r="B461" s="1">
        <v>8.4</v>
      </c>
      <c r="C461" s="1" t="str">
        <f>"次"</f>
        <v>次</v>
      </c>
      <c r="D461" s="1" t="str">
        <f t="shared" si="127"/>
        <v>次</v>
      </c>
      <c r="E461" s="1" t="str">
        <f t="shared" si="120"/>
        <v>治疗费</v>
      </c>
    </row>
    <row r="462" spans="1:5">
      <c r="A462" s="1" t="str">
        <f>"塑料合（代）颌面加高咬合"</f>
        <v>塑料合（代）颌面加高咬合</v>
      </c>
      <c r="B462" s="1">
        <v>30</v>
      </c>
      <c r="C462" s="1" t="str">
        <f>"项"</f>
        <v>项</v>
      </c>
      <c r="D462" s="1" t="str">
        <f t="shared" si="127"/>
        <v>次</v>
      </c>
      <c r="E462" s="1" t="str">
        <f t="shared" si="120"/>
        <v>治疗费</v>
      </c>
    </row>
    <row r="463" spans="1:5">
      <c r="A463" s="1" t="str">
        <f>"弹性假牙龈"</f>
        <v>弹性假牙龈</v>
      </c>
      <c r="B463" s="1">
        <v>18</v>
      </c>
      <c r="C463" s="1" t="str">
        <f>"-"</f>
        <v>-</v>
      </c>
      <c r="D463" s="1" t="str">
        <f t="shared" ref="D463:D468" si="128">"每牙"</f>
        <v>每牙</v>
      </c>
      <c r="E463" s="1" t="str">
        <f t="shared" si="120"/>
        <v>治疗费</v>
      </c>
    </row>
    <row r="464" spans="1:5">
      <c r="A464" s="1" t="str">
        <f>"镀金加工"</f>
        <v>镀金加工</v>
      </c>
      <c r="B464" s="1">
        <v>36</v>
      </c>
      <c r="C464" s="1" t="str">
        <f t="shared" ref="C464:C468" si="129">"每牙"</f>
        <v>每牙</v>
      </c>
      <c r="D464" s="1" t="str">
        <f t="shared" si="128"/>
        <v>每牙</v>
      </c>
      <c r="E464" s="1" t="str">
        <f t="shared" si="120"/>
        <v>治疗费</v>
      </c>
    </row>
    <row r="465" spans="1:5">
      <c r="A465" s="1" t="str">
        <f>"铸造加工"</f>
        <v>铸造加工</v>
      </c>
      <c r="B465" s="1">
        <v>72</v>
      </c>
      <c r="C465" s="1" t="str">
        <f>"件"</f>
        <v>件</v>
      </c>
      <c r="D465" s="1" t="str">
        <f>"件"</f>
        <v>件</v>
      </c>
      <c r="E465" s="1" t="str">
        <f t="shared" si="120"/>
        <v>治疗费</v>
      </c>
    </row>
    <row r="466" spans="1:5">
      <c r="A466" s="1" t="str">
        <f>"配金加工"</f>
        <v>配金加工</v>
      </c>
      <c r="B466" s="1">
        <v>36</v>
      </c>
      <c r="C466" s="1" t="str">
        <f t="shared" si="129"/>
        <v>每牙</v>
      </c>
      <c r="D466" s="1" t="str">
        <f t="shared" si="128"/>
        <v>每牙</v>
      </c>
      <c r="E466" s="1" t="str">
        <f t="shared" si="120"/>
        <v>治疗费</v>
      </c>
    </row>
    <row r="467" spans="1:5">
      <c r="A467" s="1" t="str">
        <f>"黄金材料加工"</f>
        <v>黄金材料加工</v>
      </c>
      <c r="B467" s="1">
        <v>36</v>
      </c>
      <c r="C467" s="1" t="str">
        <f t="shared" si="129"/>
        <v>每牙</v>
      </c>
      <c r="D467" s="1" t="str">
        <f t="shared" si="128"/>
        <v>每牙</v>
      </c>
      <c r="E467" s="1" t="str">
        <f t="shared" si="120"/>
        <v>治疗费</v>
      </c>
    </row>
    <row r="468" spans="1:5">
      <c r="A468" s="1" t="str">
        <f>"加磁性固位体"</f>
        <v>加磁性固位体</v>
      </c>
      <c r="B468" s="1">
        <v>300</v>
      </c>
      <c r="C468" s="1" t="str">
        <f t="shared" si="129"/>
        <v>每牙</v>
      </c>
      <c r="D468" s="1" t="str">
        <f t="shared" si="128"/>
        <v>每牙</v>
      </c>
      <c r="E468" s="1" t="str">
        <f t="shared" si="120"/>
        <v>治疗费</v>
      </c>
    </row>
    <row r="469" spans="1:5">
      <c r="A469" s="1" t="str">
        <f>"附着体增换"</f>
        <v>附着体增换</v>
      </c>
      <c r="B469" s="1">
        <v>24</v>
      </c>
      <c r="C469" s="1" t="str">
        <f>"-"</f>
        <v>-</v>
      </c>
      <c r="D469" s="1" t="str">
        <f>"个"</f>
        <v>个</v>
      </c>
      <c r="E469" s="1" t="str">
        <f t="shared" si="120"/>
        <v>治疗费</v>
      </c>
    </row>
    <row r="470" spans="1:5">
      <c r="A470" s="1" t="str">
        <f>"合（代）垫"</f>
        <v>合（代）垫</v>
      </c>
      <c r="B470" s="1">
        <v>144</v>
      </c>
      <c r="C470" s="1" t="str">
        <f>"件"</f>
        <v>件</v>
      </c>
      <c r="D470" s="1" t="str">
        <f>"件"</f>
        <v>件</v>
      </c>
      <c r="E470" s="1" t="str">
        <f t="shared" si="120"/>
        <v>治疗费</v>
      </c>
    </row>
    <row r="471" spans="1:5">
      <c r="A471" s="1" t="str">
        <f>"肌松弛治疗"</f>
        <v>肌松弛治疗</v>
      </c>
      <c r="B471" s="1">
        <v>9.6</v>
      </c>
      <c r="C471" s="1" t="str">
        <f t="shared" ref="C471:C477" si="130">"次"</f>
        <v>次</v>
      </c>
      <c r="D471" s="1" t="str">
        <f t="shared" ref="D471:D482" si="131">"次"</f>
        <v>次</v>
      </c>
      <c r="E471" s="1" t="str">
        <f t="shared" si="120"/>
        <v>治疗费</v>
      </c>
    </row>
    <row r="472" spans="1:5">
      <c r="A472" s="1" t="str">
        <f>"义颌修复"</f>
        <v>义颌修复</v>
      </c>
      <c r="B472" s="1">
        <v>216</v>
      </c>
      <c r="C472" s="1" t="str">
        <f>"每区段"</f>
        <v>每区段</v>
      </c>
      <c r="D472" s="1" t="str">
        <f>"每区段"</f>
        <v>每区段</v>
      </c>
      <c r="E472" s="1" t="str">
        <f t="shared" si="120"/>
        <v>治疗费</v>
      </c>
    </row>
    <row r="473" spans="1:5">
      <c r="A473" s="1" t="str">
        <f>"义颌修复"</f>
        <v>义颌修复</v>
      </c>
      <c r="B473" s="1">
        <v>324</v>
      </c>
      <c r="C473" s="1" t="str">
        <f>"单颌"</f>
        <v>单颌</v>
      </c>
      <c r="D473" s="1" t="str">
        <f>"单颌"</f>
        <v>单颌</v>
      </c>
      <c r="E473" s="1" t="str">
        <f t="shared" si="120"/>
        <v>治疗费</v>
      </c>
    </row>
    <row r="474" spans="1:5">
      <c r="A474" s="1" t="str">
        <f>"义颌修复分段或分区双重印模加收"</f>
        <v>义颌修复分段或分区双重印模加收</v>
      </c>
      <c r="B474" s="1">
        <v>216</v>
      </c>
      <c r="C474" s="1" t="str">
        <f>"每区段"</f>
        <v>每区段</v>
      </c>
      <c r="D474" s="1" t="str">
        <f>"每个 位点"</f>
        <v>每个 位点</v>
      </c>
      <c r="E474" s="1" t="str">
        <f t="shared" si="120"/>
        <v>治疗费</v>
      </c>
    </row>
    <row r="475" spans="1:5">
      <c r="A475" s="1" t="str">
        <f>"软腭抬高器治疗"</f>
        <v>软腭抬高器治疗</v>
      </c>
      <c r="B475" s="1">
        <v>240</v>
      </c>
      <c r="C475" s="1" t="str">
        <f t="shared" si="130"/>
        <v>次</v>
      </c>
      <c r="D475" s="1" t="str">
        <f t="shared" si="131"/>
        <v>次</v>
      </c>
      <c r="E475" s="1" t="str">
        <f t="shared" si="120"/>
        <v>治疗费</v>
      </c>
    </row>
    <row r="476" spans="1:5">
      <c r="A476" s="1" t="str">
        <f>"牙周病伴错畸形活动矫治器正畸治疗"</f>
        <v>牙周病伴错畸形活动矫治器正畸治疗</v>
      </c>
      <c r="B476" s="1">
        <v>120</v>
      </c>
      <c r="C476" s="1" t="str">
        <f t="shared" si="130"/>
        <v>次</v>
      </c>
      <c r="D476" s="1" t="str">
        <f t="shared" si="131"/>
        <v>次</v>
      </c>
      <c r="E476" s="1" t="str">
        <f t="shared" si="120"/>
        <v>治疗费</v>
      </c>
    </row>
    <row r="477" spans="1:5">
      <c r="A477" s="1" t="str">
        <f>"拔牙矫治加收-b"</f>
        <v>拔牙矫治加收-b</v>
      </c>
      <c r="B477" s="1">
        <v>18</v>
      </c>
      <c r="C477" s="1" t="str">
        <f t="shared" si="130"/>
        <v>次</v>
      </c>
      <c r="D477" s="1" t="str">
        <f t="shared" si="131"/>
        <v>次</v>
      </c>
      <c r="E477" s="1" t="str">
        <f t="shared" si="120"/>
        <v>治疗费</v>
      </c>
    </row>
    <row r="478" spans="1:5">
      <c r="A478" s="1" t="str">
        <f>"早期颜面不对称正畸治疗"</f>
        <v>早期颜面不对称正畸治疗</v>
      </c>
      <c r="B478" s="1">
        <v>180</v>
      </c>
      <c r="C478" s="1" t="str">
        <f t="shared" ref="C478:C483" si="132">"-"</f>
        <v>-</v>
      </c>
      <c r="D478" s="1" t="str">
        <f t="shared" si="131"/>
        <v>次</v>
      </c>
      <c r="E478" s="1" t="str">
        <f t="shared" si="120"/>
        <v>治疗费</v>
      </c>
    </row>
    <row r="479" spans="1:5">
      <c r="A479" s="1" t="str">
        <f>"恒牙期颜面不对称正畸治疗"</f>
        <v>恒牙期颜面不对称正畸治疗</v>
      </c>
      <c r="B479" s="1">
        <v>180</v>
      </c>
      <c r="C479" s="1" t="str">
        <f t="shared" si="132"/>
        <v>-</v>
      </c>
      <c r="D479" s="1" t="str">
        <f t="shared" si="131"/>
        <v>次</v>
      </c>
      <c r="E479" s="1" t="str">
        <f t="shared" si="120"/>
        <v>治疗费</v>
      </c>
    </row>
    <row r="480" spans="1:5">
      <c r="A480" s="1" t="str">
        <f>"颅面畸形正畸治疗"</f>
        <v>颅面畸形正畸治疗</v>
      </c>
      <c r="B480" s="1">
        <v>180</v>
      </c>
      <c r="C480" s="1" t="str">
        <f>"次"</f>
        <v>次</v>
      </c>
      <c r="D480" s="1" t="str">
        <f t="shared" si="131"/>
        <v>次</v>
      </c>
      <c r="E480" s="1" t="str">
        <f t="shared" si="120"/>
        <v>治疗费</v>
      </c>
    </row>
    <row r="481" spans="1:5">
      <c r="A481" s="1" t="str">
        <f>"颞下颌关节病正畸治疗"</f>
        <v>颞下颌关节病正畸治疗</v>
      </c>
      <c r="B481" s="1">
        <v>120</v>
      </c>
      <c r="C481" s="1" t="str">
        <f t="shared" si="132"/>
        <v>-</v>
      </c>
      <c r="D481" s="1" t="str">
        <f t="shared" si="131"/>
        <v>次</v>
      </c>
      <c r="E481" s="1" t="str">
        <f t="shared" si="120"/>
        <v>治疗费</v>
      </c>
    </row>
    <row r="482" spans="1:5">
      <c r="A482" s="1" t="str">
        <f>"正颌外科术前术后正畸治疗"</f>
        <v>正颌外科术前术后正畸治疗</v>
      </c>
      <c r="B482" s="1">
        <v>240</v>
      </c>
      <c r="C482" s="1" t="str">
        <f t="shared" si="132"/>
        <v>-</v>
      </c>
      <c r="D482" s="1" t="str">
        <f t="shared" si="131"/>
        <v>次</v>
      </c>
      <c r="E482" s="1" t="str">
        <f t="shared" si="120"/>
        <v>治疗费</v>
      </c>
    </row>
    <row r="483" spans="1:5">
      <c r="A483" s="1" t="str">
        <f>"正畸保持器治疗"</f>
        <v>正畸保持器治疗</v>
      </c>
      <c r="B483" s="1">
        <v>48</v>
      </c>
      <c r="C483" s="1" t="str">
        <f t="shared" si="132"/>
        <v>-</v>
      </c>
      <c r="D483" s="1" t="str">
        <f>"付"</f>
        <v>付</v>
      </c>
      <c r="E483" s="1" t="str">
        <f t="shared" si="120"/>
        <v>治疗费</v>
      </c>
    </row>
    <row r="484" spans="1:5">
      <c r="A484" s="1" t="str">
        <f>"种植体模型制备"</f>
        <v>种植体模型制备</v>
      </c>
      <c r="B484" s="1">
        <v>144</v>
      </c>
      <c r="C484" s="1">
        <v>1</v>
      </c>
      <c r="D484" s="1" t="str">
        <f t="shared" ref="D484:D489" si="133">"单颌"</f>
        <v>单颌</v>
      </c>
      <c r="E484" s="1" t="str">
        <f t="shared" si="120"/>
        <v>治疗费</v>
      </c>
    </row>
    <row r="485" spans="1:5">
      <c r="A485" s="1" t="str">
        <f>"外科引导板"</f>
        <v>外科引导板</v>
      </c>
      <c r="B485" s="1">
        <v>72</v>
      </c>
      <c r="C485" s="1" t="str">
        <f t="shared" ref="C485:C489" si="134">"单颌"</f>
        <v>单颌</v>
      </c>
      <c r="D485" s="1" t="str">
        <f t="shared" si="133"/>
        <v>单颌</v>
      </c>
      <c r="E485" s="1" t="str">
        <f t="shared" si="120"/>
        <v>治疗费</v>
      </c>
    </row>
    <row r="486" spans="1:5">
      <c r="A486" s="1" t="str">
        <f>"种植过渡义齿"</f>
        <v>种植过渡义齿</v>
      </c>
      <c r="B486" s="1">
        <v>72</v>
      </c>
      <c r="C486" s="1" t="str">
        <f>"每牙"</f>
        <v>每牙</v>
      </c>
      <c r="D486" s="1" t="str">
        <f>"每牙"</f>
        <v>每牙</v>
      </c>
      <c r="E486" s="1" t="str">
        <f t="shared" si="120"/>
        <v>治疗费</v>
      </c>
    </row>
    <row r="487" spans="1:5">
      <c r="A487" s="1" t="str">
        <f>"种植体-真牙栓道式附着体"</f>
        <v>种植体-真牙栓道式附着体</v>
      </c>
      <c r="B487" s="1">
        <v>360</v>
      </c>
      <c r="C487" s="1" t="str">
        <f>"每牙"</f>
        <v>每牙</v>
      </c>
      <c r="D487" s="1" t="str">
        <f>"每牙"</f>
        <v>每牙</v>
      </c>
      <c r="E487" s="1" t="str">
        <f t="shared" si="120"/>
        <v>治疗费</v>
      </c>
    </row>
    <row r="488" spans="1:5">
      <c r="A488" s="1" t="str">
        <f>"种植覆盖义齿"</f>
        <v>种植覆盖义齿</v>
      </c>
      <c r="B488" s="1">
        <v>600</v>
      </c>
      <c r="C488" s="1" t="str">
        <f t="shared" si="134"/>
        <v>单颌</v>
      </c>
      <c r="D488" s="1" t="str">
        <f t="shared" si="133"/>
        <v>单颌</v>
      </c>
      <c r="E488" s="1" t="str">
        <f t="shared" si="120"/>
        <v>治疗费</v>
      </c>
    </row>
    <row r="489" spans="1:5">
      <c r="A489" s="1" t="str">
        <f>"全口固定种植义齿"</f>
        <v>全口固定种植义齿</v>
      </c>
      <c r="B489" s="1">
        <v>600</v>
      </c>
      <c r="C489" s="1" t="str">
        <f t="shared" si="134"/>
        <v>单颌</v>
      </c>
      <c r="D489" s="1" t="str">
        <f t="shared" si="133"/>
        <v>单颌</v>
      </c>
      <c r="E489" s="1" t="str">
        <f t="shared" si="120"/>
        <v>治疗费</v>
      </c>
    </row>
    <row r="490" spans="1:5">
      <c r="A490" s="1" t="str">
        <f>"肺通气功能检查"</f>
        <v>肺通气功能检查</v>
      </c>
      <c r="B490" s="1">
        <v>39</v>
      </c>
      <c r="C490" s="1" t="str">
        <f>"/"</f>
        <v>/</v>
      </c>
      <c r="D490" s="1" t="str">
        <f t="shared" ref="D490:D497" si="135">"次"</f>
        <v>次</v>
      </c>
      <c r="E490" s="1" t="str">
        <f t="shared" ref="E490:E493" si="136">"检查费"</f>
        <v>检查费</v>
      </c>
    </row>
    <row r="491" spans="1:5">
      <c r="A491" s="1" t="str">
        <f>"流速容量曲线（V-V)"</f>
        <v>流速容量曲线（V-V)</v>
      </c>
      <c r="B491" s="1">
        <v>117</v>
      </c>
      <c r="C491" s="1" t="str">
        <f>"项"</f>
        <v>项</v>
      </c>
      <c r="D491" s="1" t="str">
        <f>"项"</f>
        <v>项</v>
      </c>
      <c r="E491" s="1" t="str">
        <f t="shared" si="136"/>
        <v>检查费</v>
      </c>
    </row>
    <row r="492" spans="1:5">
      <c r="A492" s="1" t="str">
        <f>"支气管舒张试验"</f>
        <v>支气管舒张试验</v>
      </c>
      <c r="B492" s="1">
        <v>104</v>
      </c>
      <c r="C492" s="1" t="str">
        <f>"项"</f>
        <v>项</v>
      </c>
      <c r="D492" s="1" t="str">
        <f>"项"</f>
        <v>项</v>
      </c>
      <c r="E492" s="1" t="str">
        <f t="shared" si="136"/>
        <v>检查费</v>
      </c>
    </row>
    <row r="493" spans="1:5">
      <c r="A493" s="1" t="str">
        <f>"床边简易肺功能测定"</f>
        <v>床边简易肺功能测定</v>
      </c>
      <c r="B493" s="1">
        <v>65</v>
      </c>
      <c r="C493" s="1">
        <v>1</v>
      </c>
      <c r="D493" s="1" t="str">
        <f>"每次"</f>
        <v>每次</v>
      </c>
      <c r="E493" s="1" t="str">
        <f t="shared" si="136"/>
        <v>检查费</v>
      </c>
    </row>
    <row r="494" spans="1:5">
      <c r="A494" s="1" t="str">
        <f>"常规心电图检查(单通道)"</f>
        <v>常规心电图检查(单通道)</v>
      </c>
      <c r="B494" s="1">
        <v>12</v>
      </c>
      <c r="C494" s="1" t="str">
        <f t="shared" ref="C494:C496" si="137">"次"</f>
        <v>次</v>
      </c>
      <c r="D494" s="1" t="str">
        <f t="shared" si="135"/>
        <v>次</v>
      </c>
      <c r="E494" s="1" t="str">
        <f t="shared" ref="E494:E496" si="138">"心电图"</f>
        <v>心电图</v>
      </c>
    </row>
    <row r="495" spans="1:5">
      <c r="A495" s="1" t="str">
        <f>"常规心电图检查十二通道"</f>
        <v>常规心电图检查十二通道</v>
      </c>
      <c r="B495" s="1">
        <v>36</v>
      </c>
      <c r="C495" s="1" t="str">
        <f t="shared" si="137"/>
        <v>次</v>
      </c>
      <c r="D495" s="1" t="str">
        <f t="shared" si="135"/>
        <v>次</v>
      </c>
      <c r="E495" s="1" t="str">
        <f t="shared" si="138"/>
        <v>心电图</v>
      </c>
    </row>
    <row r="496" spans="1:5">
      <c r="A496" s="1" t="str">
        <f>"动态心电图"</f>
        <v>动态心电图</v>
      </c>
      <c r="B496" s="1">
        <v>192</v>
      </c>
      <c r="C496" s="1" t="str">
        <f t="shared" si="137"/>
        <v>次</v>
      </c>
      <c r="D496" s="1" t="str">
        <f t="shared" si="135"/>
        <v>次</v>
      </c>
      <c r="E496" s="1" t="str">
        <f t="shared" si="138"/>
        <v>心电图</v>
      </c>
    </row>
    <row r="497" spans="1:5">
      <c r="A497" s="1" t="str">
        <f>"心率变异性分析"</f>
        <v>心率变异性分析</v>
      </c>
      <c r="B497" s="1">
        <v>96</v>
      </c>
      <c r="C497" s="1" t="str">
        <f>"-"</f>
        <v>-</v>
      </c>
      <c r="D497" s="1" t="str">
        <f t="shared" si="135"/>
        <v>次</v>
      </c>
      <c r="E497" s="1" t="str">
        <f t="shared" ref="E497:E502" si="139">"检查费"</f>
        <v>检查费</v>
      </c>
    </row>
    <row r="498" spans="1:5">
      <c r="A498" s="1" t="str">
        <f>"动态血压监测"</f>
        <v>动态血压监测</v>
      </c>
      <c r="B498" s="1">
        <v>6</v>
      </c>
      <c r="C498" s="1" t="str">
        <f>"小时"</f>
        <v>小时</v>
      </c>
      <c r="D498" s="1" t="str">
        <f>"小时"</f>
        <v>小时</v>
      </c>
      <c r="E498" s="1" t="str">
        <f t="shared" si="139"/>
        <v>检查费</v>
      </c>
    </row>
    <row r="499" spans="1:5">
      <c r="A499" s="1" t="str">
        <f>"肢体动脉检测"</f>
        <v>肢体动脉检测</v>
      </c>
      <c r="B499" s="1">
        <v>57</v>
      </c>
      <c r="C499" s="1" t="str">
        <f t="shared" ref="C499:C510" si="140">"次"</f>
        <v>次</v>
      </c>
      <c r="D499" s="1" t="str">
        <f t="shared" ref="D499:D511" si="141">"次"</f>
        <v>次</v>
      </c>
      <c r="E499" s="1" t="str">
        <f>"超声费"</f>
        <v>超声费</v>
      </c>
    </row>
    <row r="500" spans="1:5">
      <c r="A500" s="1" t="str">
        <f>"血氧饱和度监测"</f>
        <v>血氧饱和度监测</v>
      </c>
      <c r="B500" s="1">
        <v>2.4</v>
      </c>
      <c r="C500" s="1" t="str">
        <f>"小时"</f>
        <v>小时</v>
      </c>
      <c r="D500" s="1" t="str">
        <f>"小时"</f>
        <v>小时</v>
      </c>
      <c r="E500" s="1" t="str">
        <f t="shared" ref="E500:E507" si="142">"治疗费"</f>
        <v>治疗费</v>
      </c>
    </row>
    <row r="501" spans="1:5">
      <c r="A501" s="1" t="str">
        <f>"肛门镜检查"</f>
        <v>肛门镜检查</v>
      </c>
      <c r="B501" s="1">
        <v>26</v>
      </c>
      <c r="C501" s="1" t="str">
        <f t="shared" si="140"/>
        <v>次</v>
      </c>
      <c r="D501" s="1" t="str">
        <f t="shared" si="141"/>
        <v>次</v>
      </c>
      <c r="E501" s="1" t="str">
        <f t="shared" si="142"/>
        <v>治疗费</v>
      </c>
    </row>
    <row r="502" spans="1:5">
      <c r="A502" s="1" t="str">
        <f>"肛门指检"</f>
        <v>肛门指检</v>
      </c>
      <c r="B502" s="1">
        <v>3.9</v>
      </c>
      <c r="C502" s="1" t="str">
        <f t="shared" si="140"/>
        <v>次</v>
      </c>
      <c r="D502" s="1" t="str">
        <f t="shared" si="141"/>
        <v>次</v>
      </c>
      <c r="E502" s="1" t="str">
        <f t="shared" si="139"/>
        <v>检查费</v>
      </c>
    </row>
    <row r="503" spans="1:5">
      <c r="A503" s="1" t="str">
        <f>"盆底表面肌电评估"</f>
        <v>盆底表面肌电评估</v>
      </c>
      <c r="B503" s="1">
        <v>90</v>
      </c>
      <c r="C503" s="1" t="str">
        <f t="shared" si="140"/>
        <v>次</v>
      </c>
      <c r="D503" s="1" t="str">
        <f t="shared" si="141"/>
        <v>次</v>
      </c>
      <c r="E503" s="1" t="str">
        <f t="shared" si="142"/>
        <v>治疗费</v>
      </c>
    </row>
    <row r="504" spans="1:5">
      <c r="A504" s="1" t="str">
        <f>"肛门皮下组织美兰注射神经阻滞术"</f>
        <v>肛门皮下组织美兰注射神经阻滞术</v>
      </c>
      <c r="B504" s="1">
        <v>78</v>
      </c>
      <c r="C504" s="1" t="str">
        <f t="shared" si="140"/>
        <v>次</v>
      </c>
      <c r="D504" s="1" t="str">
        <f t="shared" si="141"/>
        <v>次</v>
      </c>
      <c r="E504" s="1" t="str">
        <f t="shared" si="142"/>
        <v>治疗费</v>
      </c>
    </row>
    <row r="505" spans="1:5">
      <c r="A505" s="1" t="str">
        <f>"嵌顿包茎手法复位术"</f>
        <v>嵌顿包茎手法复位术</v>
      </c>
      <c r="B505" s="1">
        <v>78</v>
      </c>
      <c r="C505" s="1" t="str">
        <f t="shared" si="140"/>
        <v>次</v>
      </c>
      <c r="D505" s="1" t="str">
        <f t="shared" si="141"/>
        <v>次</v>
      </c>
      <c r="E505" s="1" t="str">
        <f t="shared" si="142"/>
        <v>治疗费</v>
      </c>
    </row>
    <row r="506" spans="1:5">
      <c r="A506" s="1" t="str">
        <f>"鞘膜积液穿刺抽液术"</f>
        <v>鞘膜积液穿刺抽液术</v>
      </c>
      <c r="B506" s="1">
        <v>39</v>
      </c>
      <c r="C506" s="1" t="str">
        <f t="shared" si="140"/>
        <v>次</v>
      </c>
      <c r="D506" s="1" t="str">
        <f t="shared" si="141"/>
        <v>次</v>
      </c>
      <c r="E506" s="1" t="str">
        <f t="shared" si="142"/>
        <v>治疗费</v>
      </c>
    </row>
    <row r="507" spans="1:5">
      <c r="A507" s="1" t="str">
        <f>"阴道镜检查"</f>
        <v>阴道镜检查</v>
      </c>
      <c r="B507" s="1">
        <v>13</v>
      </c>
      <c r="C507" s="1" t="str">
        <f t="shared" si="140"/>
        <v>次</v>
      </c>
      <c r="D507" s="1" t="str">
        <f t="shared" si="141"/>
        <v>次</v>
      </c>
      <c r="E507" s="1" t="str">
        <f t="shared" si="142"/>
        <v>治疗费</v>
      </c>
    </row>
    <row r="508" spans="1:5">
      <c r="A508" s="1" t="str">
        <f>"产前检查"</f>
        <v>产前检查</v>
      </c>
      <c r="B508" s="1">
        <v>10</v>
      </c>
      <c r="C508" s="1" t="str">
        <f t="shared" si="140"/>
        <v>次</v>
      </c>
      <c r="D508" s="1" t="str">
        <f t="shared" si="141"/>
        <v>次</v>
      </c>
      <c r="E508" s="1" t="str">
        <f t="shared" ref="E508:E514" si="143">"检查费"</f>
        <v>检查费</v>
      </c>
    </row>
    <row r="509" spans="1:5">
      <c r="A509" s="1" t="str">
        <f>"胎心监测"</f>
        <v>胎心监测</v>
      </c>
      <c r="B509" s="1">
        <v>26</v>
      </c>
      <c r="C509" s="1" t="str">
        <f t="shared" si="140"/>
        <v>次</v>
      </c>
      <c r="D509" s="1" t="str">
        <f t="shared" si="141"/>
        <v>次</v>
      </c>
      <c r="E509" s="1" t="str">
        <f t="shared" si="143"/>
        <v>检查费</v>
      </c>
    </row>
    <row r="510" spans="1:5">
      <c r="A510" s="1" t="str">
        <f>"宫内节育器放置术"</f>
        <v>宫内节育器放置术</v>
      </c>
      <c r="B510" s="1">
        <v>26</v>
      </c>
      <c r="C510" s="1" t="str">
        <f t="shared" si="140"/>
        <v>次</v>
      </c>
      <c r="D510" s="1" t="str">
        <f t="shared" si="141"/>
        <v>次</v>
      </c>
      <c r="E510" s="1" t="str">
        <f>"手术费"</f>
        <v>手术费</v>
      </c>
    </row>
    <row r="511" spans="1:5">
      <c r="A511" s="1" t="str">
        <f>"宫内节育器取出术"</f>
        <v>宫内节育器取出术</v>
      </c>
      <c r="B511" s="1">
        <v>26</v>
      </c>
      <c r="C511" s="1">
        <v>1</v>
      </c>
      <c r="D511" s="1" t="str">
        <f t="shared" si="141"/>
        <v>次</v>
      </c>
      <c r="E511" s="1" t="str">
        <f>"手术费"</f>
        <v>手术费</v>
      </c>
    </row>
    <row r="512" spans="1:5">
      <c r="A512" s="1" t="str">
        <f>"新生儿经皮胆红素测定（头部）"</f>
        <v>新生儿经皮胆红素测定（头部）</v>
      </c>
      <c r="B512" s="1">
        <v>6.5</v>
      </c>
      <c r="C512" s="1" t="str">
        <f>"每次"</f>
        <v>每次</v>
      </c>
      <c r="D512" s="1" t="str">
        <f>"每次"</f>
        <v>每次</v>
      </c>
      <c r="E512" s="1" t="str">
        <f t="shared" si="143"/>
        <v>检查费</v>
      </c>
    </row>
    <row r="513" spans="1:5">
      <c r="A513" s="1" t="str">
        <f>"新生儿经皮胆红素测定（胸部）"</f>
        <v>新生儿经皮胆红素测定（胸部）</v>
      </c>
      <c r="B513" s="1">
        <v>6.5</v>
      </c>
      <c r="C513" s="1" t="str">
        <f>"每个部位"</f>
        <v>每个部位</v>
      </c>
      <c r="D513" s="1" t="str">
        <f>"每个部位"</f>
        <v>每个部位</v>
      </c>
      <c r="E513" s="1" t="str">
        <f t="shared" si="143"/>
        <v>检查费</v>
      </c>
    </row>
    <row r="514" spans="1:5">
      <c r="A514" s="1" t="str">
        <f>"新生儿经皮胆红素测定（腿部）"</f>
        <v>新生儿经皮胆红素测定（腿部）</v>
      </c>
      <c r="B514" s="1">
        <v>6.5</v>
      </c>
      <c r="C514" s="1" t="str">
        <f>"每个 部位"</f>
        <v>每个 部位</v>
      </c>
      <c r="D514" s="1" t="str">
        <f>"每个 部位"</f>
        <v>每个 部位</v>
      </c>
      <c r="E514" s="1" t="str">
        <f t="shared" si="143"/>
        <v>检查费</v>
      </c>
    </row>
    <row r="515" spans="1:5">
      <c r="A515" s="1" t="str">
        <f>"刮疣治疗"</f>
        <v>刮疣治疗</v>
      </c>
      <c r="B515" s="1">
        <v>6.5</v>
      </c>
      <c r="C515" s="1" t="str">
        <f t="shared" ref="C515:C519" si="144">"次"</f>
        <v>次</v>
      </c>
      <c r="D515" s="1" t="str">
        <f t="shared" ref="D515:D519" si="145">"每个"</f>
        <v>每个</v>
      </c>
      <c r="E515" s="1" t="str">
        <f t="shared" ref="E515:E520" si="146">"治疗费"</f>
        <v>治疗费</v>
      </c>
    </row>
    <row r="516" spans="1:5">
      <c r="A516" s="1" t="str">
        <f>"拔甲治疗"</f>
        <v>拔甲治疗</v>
      </c>
      <c r="B516" s="1">
        <v>33</v>
      </c>
      <c r="C516" s="1" t="str">
        <f t="shared" si="144"/>
        <v>次</v>
      </c>
      <c r="D516" s="1" t="str">
        <f>"次"</f>
        <v>次</v>
      </c>
      <c r="E516" s="1" t="str">
        <f t="shared" si="146"/>
        <v>治疗费</v>
      </c>
    </row>
    <row r="517" spans="1:5">
      <c r="A517" s="1" t="str">
        <f>"皮肤溃疡清创术"</f>
        <v>皮肤溃疡清创术</v>
      </c>
      <c r="B517" s="1">
        <v>13</v>
      </c>
      <c r="C517" s="1" t="str">
        <f t="shared" si="144"/>
        <v>次</v>
      </c>
      <c r="D517" s="1" t="str">
        <f>"每创面"</f>
        <v>每创面</v>
      </c>
      <c r="E517" s="1" t="str">
        <f>"手术费"</f>
        <v>手术费</v>
      </c>
    </row>
    <row r="518" spans="1:5">
      <c r="A518" s="1" t="str">
        <f>"粉刺去除术"</f>
        <v>粉刺去除术</v>
      </c>
      <c r="B518" s="1">
        <v>3.9</v>
      </c>
      <c r="C518" s="1" t="str">
        <f t="shared" si="144"/>
        <v>次</v>
      </c>
      <c r="D518" s="1" t="str">
        <f t="shared" si="145"/>
        <v>每个</v>
      </c>
      <c r="E518" s="1" t="str">
        <f t="shared" si="146"/>
        <v>治疗费</v>
      </c>
    </row>
    <row r="519" spans="1:5">
      <c r="A519" s="1" t="str">
        <f>"鸡眼刮除术"</f>
        <v>鸡眼刮除术</v>
      </c>
      <c r="B519" s="1">
        <v>26</v>
      </c>
      <c r="C519" s="1" t="str">
        <f t="shared" si="144"/>
        <v>次</v>
      </c>
      <c r="D519" s="1" t="str">
        <f t="shared" si="145"/>
        <v>每个</v>
      </c>
      <c r="E519" s="1" t="str">
        <f t="shared" si="146"/>
        <v>治疗费</v>
      </c>
    </row>
    <row r="520" spans="1:5">
      <c r="A520" s="1" t="str">
        <f>"烧伤换药"</f>
        <v>烧伤换药</v>
      </c>
      <c r="B520" s="1">
        <v>26</v>
      </c>
      <c r="C520" s="1" t="str">
        <f>"1%体表面"</f>
        <v>1%体表面</v>
      </c>
      <c r="D520" s="1" t="str">
        <f>"1%体表面"</f>
        <v>1%体表面</v>
      </c>
      <c r="E520" s="1" t="str">
        <f t="shared" si="146"/>
        <v>治疗费</v>
      </c>
    </row>
    <row r="521" spans="1:5">
      <c r="A521" s="1" t="str">
        <f>"精神科A类量表测查(丹佛小儿智能发育筛查表)"</f>
        <v>精神科A类量表测查(丹佛小儿智能发育筛查表)</v>
      </c>
      <c r="B521" s="1">
        <v>45</v>
      </c>
      <c r="C521" s="1" t="str">
        <f t="shared" ref="C521:C536" si="147">"次"</f>
        <v>次</v>
      </c>
      <c r="D521" s="1" t="str">
        <f t="shared" ref="D521:D536" si="148">"次"</f>
        <v>次</v>
      </c>
      <c r="E521" s="1" t="str">
        <f t="shared" ref="E521:E524" si="149">"检查费"</f>
        <v>检查费</v>
      </c>
    </row>
    <row r="522" spans="1:5">
      <c r="A522" s="1" t="str">
        <f>"9条目患者健康问卷（PHQ-9）"</f>
        <v>9条目患者健康问卷（PHQ-9）</v>
      </c>
      <c r="B522" s="1">
        <v>45</v>
      </c>
      <c r="C522" s="1" t="str">
        <f t="shared" si="147"/>
        <v>次</v>
      </c>
      <c r="D522" s="1" t="str">
        <f t="shared" si="148"/>
        <v>次</v>
      </c>
      <c r="E522" s="1" t="str">
        <f t="shared" si="149"/>
        <v>检查费</v>
      </c>
    </row>
    <row r="523" spans="1:5">
      <c r="A523" s="1" t="str">
        <f>"精神科A类量表测查(儿童孤独行为检查量表)"</f>
        <v>精神科A类量表测查(儿童孤独行为检查量表)</v>
      </c>
      <c r="B523" s="1">
        <v>45</v>
      </c>
      <c r="C523" s="1" t="str">
        <f t="shared" si="147"/>
        <v>次</v>
      </c>
      <c r="D523" s="1" t="str">
        <f t="shared" si="148"/>
        <v>次</v>
      </c>
      <c r="E523" s="1" t="str">
        <f t="shared" si="149"/>
        <v>检查费</v>
      </c>
    </row>
    <row r="524" spans="1:5">
      <c r="A524" s="1" t="str">
        <f>"儿童发育量表"</f>
        <v>儿童发育量表</v>
      </c>
      <c r="B524" s="1">
        <v>65</v>
      </c>
      <c r="C524" s="1" t="str">
        <f t="shared" si="147"/>
        <v>次</v>
      </c>
      <c r="D524" s="1" t="str">
        <f t="shared" si="148"/>
        <v>次</v>
      </c>
      <c r="E524" s="1" t="str">
        <f t="shared" si="149"/>
        <v>检查费</v>
      </c>
    </row>
    <row r="525" spans="1:5">
      <c r="A525" s="1" t="str">
        <f>"局部浸润麻醉"</f>
        <v>局部浸润麻醉</v>
      </c>
      <c r="B525" s="1">
        <v>18</v>
      </c>
      <c r="C525" s="1" t="str">
        <f t="shared" si="147"/>
        <v>次</v>
      </c>
      <c r="D525" s="1" t="str">
        <f t="shared" si="148"/>
        <v>次</v>
      </c>
      <c r="E525" s="1" t="str">
        <f t="shared" ref="E525:E527" si="150">"麻醉费"</f>
        <v>麻醉费</v>
      </c>
    </row>
    <row r="526" spans="1:5">
      <c r="A526" s="1" t="str">
        <f>"局部浸润麻醉（签约）"</f>
        <v>局部浸润麻醉（签约）</v>
      </c>
      <c r="B526" s="1">
        <v>17</v>
      </c>
      <c r="C526" s="1" t="str">
        <f t="shared" si="147"/>
        <v>次</v>
      </c>
      <c r="D526" s="1" t="str">
        <f t="shared" si="148"/>
        <v>次</v>
      </c>
      <c r="E526" s="1" t="str">
        <f t="shared" si="150"/>
        <v>麻醉费</v>
      </c>
    </row>
    <row r="527" spans="1:5">
      <c r="A527" s="1" t="str">
        <f>"神经阻滞麻醉"</f>
        <v>神经阻滞麻醉</v>
      </c>
      <c r="B527" s="1">
        <v>89</v>
      </c>
      <c r="C527" s="1" t="str">
        <f t="shared" si="147"/>
        <v>次</v>
      </c>
      <c r="D527" s="1" t="str">
        <f t="shared" si="148"/>
        <v>次</v>
      </c>
      <c r="E527" s="1" t="str">
        <f t="shared" si="150"/>
        <v>麻醉费</v>
      </c>
    </row>
    <row r="528" spans="1:5">
      <c r="A528" s="1" t="str">
        <f>"神经阻滞麻醉口腔门诊"</f>
        <v>神经阻滞麻醉口腔门诊</v>
      </c>
      <c r="B528" s="1">
        <v>36</v>
      </c>
      <c r="C528" s="1" t="str">
        <f t="shared" si="147"/>
        <v>次</v>
      </c>
      <c r="D528" s="1" t="str">
        <f t="shared" si="148"/>
        <v>次</v>
      </c>
      <c r="E528" s="1" t="str">
        <f>"治疗费"</f>
        <v>治疗费</v>
      </c>
    </row>
    <row r="529" spans="1:5">
      <c r="A529" s="1" t="str">
        <f>"神经阻滞麻醉口腔门诊（签约）"</f>
        <v>神经阻滞麻醉口腔门诊（签约）</v>
      </c>
      <c r="B529" s="1">
        <v>35</v>
      </c>
      <c r="C529" s="1" t="str">
        <f t="shared" si="147"/>
        <v>次</v>
      </c>
      <c r="D529" s="1" t="str">
        <f t="shared" si="148"/>
        <v>次</v>
      </c>
      <c r="E529" s="1" t="str">
        <f>"治疗费"</f>
        <v>治疗费</v>
      </c>
    </row>
    <row r="530" spans="1:5">
      <c r="A530" s="1" t="str">
        <f>"眼睑肿物切除术"</f>
        <v>眼睑肿物切除术</v>
      </c>
      <c r="B530" s="1">
        <v>108</v>
      </c>
      <c r="C530" s="1" t="str">
        <f t="shared" si="147"/>
        <v>次</v>
      </c>
      <c r="D530" s="1" t="str">
        <f t="shared" si="148"/>
        <v>次</v>
      </c>
      <c r="E530" s="1" t="str">
        <f t="shared" ref="E530:E546" si="151">"手术费"</f>
        <v>手术费</v>
      </c>
    </row>
    <row r="531" spans="1:5">
      <c r="A531" s="1" t="str">
        <f>"睑内（外）翻矫正术"</f>
        <v>睑内（外）翻矫正术</v>
      </c>
      <c r="B531" s="1">
        <v>141</v>
      </c>
      <c r="C531" s="1" t="str">
        <f t="shared" si="147"/>
        <v>次</v>
      </c>
      <c r="D531" s="1" t="str">
        <f t="shared" si="148"/>
        <v>次</v>
      </c>
      <c r="E531" s="1" t="str">
        <f t="shared" si="151"/>
        <v>手术费</v>
      </c>
    </row>
    <row r="532" spans="1:5">
      <c r="A532" s="1" t="str">
        <f>"麦粒肿切除术"</f>
        <v>麦粒肿切除术</v>
      </c>
      <c r="B532" s="1">
        <v>49</v>
      </c>
      <c r="C532" s="1" t="str">
        <f t="shared" si="147"/>
        <v>次</v>
      </c>
      <c r="D532" s="1" t="str">
        <f t="shared" si="148"/>
        <v>次</v>
      </c>
      <c r="E532" s="1" t="str">
        <f t="shared" si="151"/>
        <v>手术费</v>
      </c>
    </row>
    <row r="533" spans="1:5">
      <c r="A533" s="1" t="str">
        <f>"耳道异物取出术"</f>
        <v>耳道异物取出术</v>
      </c>
      <c r="B533" s="1">
        <v>87</v>
      </c>
      <c r="C533" s="1" t="str">
        <f t="shared" si="147"/>
        <v>次</v>
      </c>
      <c r="D533" s="1" t="str">
        <f t="shared" si="148"/>
        <v>次</v>
      </c>
      <c r="E533" s="1" t="str">
        <f t="shared" si="151"/>
        <v>手术费</v>
      </c>
    </row>
    <row r="534" spans="1:5">
      <c r="A534" s="1" t="str">
        <f>"外耳道良性肿物切除术"</f>
        <v>外耳道良性肿物切除术</v>
      </c>
      <c r="B534" s="1">
        <v>216</v>
      </c>
      <c r="C534" s="1" t="str">
        <f t="shared" si="147"/>
        <v>次</v>
      </c>
      <c r="D534" s="1" t="str">
        <f t="shared" si="148"/>
        <v>次</v>
      </c>
      <c r="E534" s="1" t="str">
        <f t="shared" si="151"/>
        <v>手术费</v>
      </c>
    </row>
    <row r="535" spans="1:5">
      <c r="A535" s="1" t="str">
        <f>"鼻外伤清创缝合术"</f>
        <v>鼻外伤清创缝合术</v>
      </c>
      <c r="B535" s="1">
        <v>216</v>
      </c>
      <c r="C535" s="1" t="str">
        <f t="shared" si="147"/>
        <v>次</v>
      </c>
      <c r="D535" s="1" t="str">
        <f t="shared" si="148"/>
        <v>次</v>
      </c>
      <c r="E535" s="1" t="str">
        <f t="shared" si="151"/>
        <v>手术费</v>
      </c>
    </row>
    <row r="536" spans="1:5">
      <c r="A536" s="1" t="str">
        <f>"鼻腔异物取出术"</f>
        <v>鼻腔异物取出术</v>
      </c>
      <c r="B536" s="1">
        <v>54</v>
      </c>
      <c r="C536" s="1" t="str">
        <f t="shared" si="147"/>
        <v>次</v>
      </c>
      <c r="D536" s="1" t="str">
        <f t="shared" si="148"/>
        <v>次</v>
      </c>
      <c r="E536" s="1" t="str">
        <f t="shared" si="151"/>
        <v>手术费</v>
      </c>
    </row>
    <row r="537" spans="1:5">
      <c r="A537" s="1" t="str">
        <f>"乳牙拔除术"</f>
        <v>乳牙拔除术</v>
      </c>
      <c r="B537" s="1">
        <v>7.7</v>
      </c>
      <c r="C537" s="1" t="str">
        <f t="shared" ref="C537:C546" si="152">"每牙"</f>
        <v>每牙</v>
      </c>
      <c r="D537" s="1" t="str">
        <f t="shared" ref="D537:D551" si="153">"每牙"</f>
        <v>每牙</v>
      </c>
      <c r="E537" s="1" t="str">
        <f t="shared" si="151"/>
        <v>手术费</v>
      </c>
    </row>
    <row r="538" spans="1:5">
      <c r="A538" s="1" t="str">
        <f>"前牙拔除术"</f>
        <v>前牙拔除术</v>
      </c>
      <c r="B538" s="1">
        <v>16</v>
      </c>
      <c r="C538" s="1" t="str">
        <f t="shared" si="152"/>
        <v>每牙</v>
      </c>
      <c r="D538" s="1" t="str">
        <f t="shared" si="153"/>
        <v>每牙</v>
      </c>
      <c r="E538" s="1" t="str">
        <f t="shared" si="151"/>
        <v>手术费</v>
      </c>
    </row>
    <row r="539" spans="1:5">
      <c r="A539" s="1" t="str">
        <f>"前磨牙拔除术"</f>
        <v>前磨牙拔除术</v>
      </c>
      <c r="B539" s="1">
        <v>22</v>
      </c>
      <c r="C539" s="1" t="str">
        <f t="shared" si="152"/>
        <v>每牙</v>
      </c>
      <c r="D539" s="1" t="str">
        <f t="shared" si="153"/>
        <v>每牙</v>
      </c>
      <c r="E539" s="1" t="str">
        <f t="shared" si="151"/>
        <v>手术费</v>
      </c>
    </row>
    <row r="540" spans="1:5">
      <c r="A540" s="1" t="str">
        <f>"磨牙拔除术"</f>
        <v>磨牙拔除术</v>
      </c>
      <c r="B540" s="1">
        <v>27</v>
      </c>
      <c r="C540" s="1" t="str">
        <f t="shared" si="152"/>
        <v>每牙</v>
      </c>
      <c r="D540" s="1" t="str">
        <f t="shared" si="153"/>
        <v>每牙</v>
      </c>
      <c r="E540" s="1" t="str">
        <f t="shared" si="151"/>
        <v>手术费</v>
      </c>
    </row>
    <row r="541" spans="1:5">
      <c r="A541" s="1" t="str">
        <f>"复杂牙拔除术"</f>
        <v>复杂牙拔除术</v>
      </c>
      <c r="B541" s="1">
        <v>43</v>
      </c>
      <c r="C541" s="1" t="str">
        <f t="shared" si="152"/>
        <v>每牙</v>
      </c>
      <c r="D541" s="1" t="str">
        <f t="shared" si="153"/>
        <v>每牙</v>
      </c>
      <c r="E541" s="1" t="str">
        <f t="shared" si="151"/>
        <v>手术费</v>
      </c>
    </row>
    <row r="542" spans="1:5">
      <c r="A542" s="1" t="str">
        <f>"阻生牙拔除术"</f>
        <v>阻生牙拔除术</v>
      </c>
      <c r="B542" s="1">
        <v>108</v>
      </c>
      <c r="C542" s="1" t="str">
        <f t="shared" si="152"/>
        <v>每牙</v>
      </c>
      <c r="D542" s="1" t="str">
        <f t="shared" si="153"/>
        <v>每牙</v>
      </c>
      <c r="E542" s="1" t="str">
        <f t="shared" si="151"/>
        <v>手术费</v>
      </c>
    </row>
    <row r="543" spans="1:5">
      <c r="A543" s="1" t="str">
        <f>"阻生牙拔除术（签约）"</f>
        <v>阻生牙拔除术（签约）</v>
      </c>
      <c r="B543" s="1">
        <v>107</v>
      </c>
      <c r="C543" s="1" t="str">
        <f t="shared" si="152"/>
        <v>每牙</v>
      </c>
      <c r="D543" s="1" t="str">
        <f t="shared" si="153"/>
        <v>每牙</v>
      </c>
      <c r="E543" s="1" t="str">
        <f t="shared" si="151"/>
        <v>手术费</v>
      </c>
    </row>
    <row r="544" spans="1:5">
      <c r="A544" s="1" t="str">
        <f>"拔牙创面搔刮术"</f>
        <v>拔牙创面搔刮术</v>
      </c>
      <c r="B544" s="1">
        <v>27</v>
      </c>
      <c r="C544" s="1" t="str">
        <f t="shared" si="152"/>
        <v>每牙</v>
      </c>
      <c r="D544" s="1" t="str">
        <f t="shared" si="153"/>
        <v>每牙</v>
      </c>
      <c r="E544" s="1" t="str">
        <f t="shared" si="151"/>
        <v>手术费</v>
      </c>
    </row>
    <row r="545" spans="1:5">
      <c r="A545" s="1" t="str">
        <f>"拔牙创面搔刮术（签约）"</f>
        <v>拔牙创面搔刮术（签约）</v>
      </c>
      <c r="B545" s="1">
        <v>26</v>
      </c>
      <c r="C545" s="1" t="str">
        <f t="shared" si="152"/>
        <v>每牙</v>
      </c>
      <c r="D545" s="1" t="str">
        <f t="shared" si="153"/>
        <v>每牙</v>
      </c>
      <c r="E545" s="1" t="str">
        <f t="shared" si="151"/>
        <v>手术费</v>
      </c>
    </row>
    <row r="546" spans="1:5">
      <c r="A546" s="1" t="str">
        <f>"牙槽骨修整术"</f>
        <v>牙槽骨修整术</v>
      </c>
      <c r="B546" s="1">
        <v>54</v>
      </c>
      <c r="C546" s="1" t="str">
        <f t="shared" si="152"/>
        <v>每牙</v>
      </c>
      <c r="D546" s="1" t="str">
        <f t="shared" si="153"/>
        <v>每牙</v>
      </c>
      <c r="E546" s="1" t="str">
        <f t="shared" si="151"/>
        <v>手术费</v>
      </c>
    </row>
    <row r="547" spans="1:5">
      <c r="A547" s="1" t="str">
        <f>"阻生智齿龈瓣整形束"</f>
        <v>阻生智齿龈瓣整形束</v>
      </c>
      <c r="B547" s="1">
        <v>54</v>
      </c>
      <c r="C547" s="1" t="str">
        <f t="shared" ref="C547:C549" si="154">"-"</f>
        <v>-</v>
      </c>
      <c r="D547" s="1" t="str">
        <f t="shared" si="153"/>
        <v>每牙</v>
      </c>
      <c r="E547" s="1" t="str">
        <f t="shared" ref="E547:E549" si="155">"治疗费"</f>
        <v>治疗费</v>
      </c>
    </row>
    <row r="548" spans="1:5">
      <c r="A548" s="1" t="str">
        <f>"根尖切除术"</f>
        <v>根尖切除术</v>
      </c>
      <c r="B548" s="1">
        <v>162</v>
      </c>
      <c r="C548" s="1" t="str">
        <f t="shared" si="154"/>
        <v>-</v>
      </c>
      <c r="D548" s="1" t="str">
        <f t="shared" si="153"/>
        <v>每牙</v>
      </c>
      <c r="E548" s="1" t="str">
        <f t="shared" si="155"/>
        <v>治疗费</v>
      </c>
    </row>
    <row r="549" spans="1:5">
      <c r="A549" s="1" t="str">
        <f>"根尖搔刮术"</f>
        <v>根尖搔刮术</v>
      </c>
      <c r="B549" s="1">
        <v>87</v>
      </c>
      <c r="C549" s="1" t="str">
        <f t="shared" si="154"/>
        <v>-</v>
      </c>
      <c r="D549" s="1" t="str">
        <f t="shared" si="153"/>
        <v>每牙</v>
      </c>
      <c r="E549" s="1" t="str">
        <f t="shared" si="155"/>
        <v>治疗费</v>
      </c>
    </row>
    <row r="550" spans="1:5">
      <c r="A550" s="1" t="str">
        <f>"牙龈翻瓣术"</f>
        <v>牙龈翻瓣术</v>
      </c>
      <c r="B550" s="1">
        <v>97</v>
      </c>
      <c r="C550" s="1" t="str">
        <f t="shared" ref="C550:C554" si="156">"每牙"</f>
        <v>每牙</v>
      </c>
      <c r="D550" s="1" t="str">
        <f t="shared" si="153"/>
        <v>每牙</v>
      </c>
      <c r="E550" s="1" t="str">
        <f t="shared" ref="E550:E553" si="157">"手术费"</f>
        <v>手术费</v>
      </c>
    </row>
    <row r="551" spans="1:5">
      <c r="A551" s="1" t="str">
        <f>"牙龈切除术"</f>
        <v>牙龈切除术</v>
      </c>
      <c r="B551" s="1">
        <v>43</v>
      </c>
      <c r="C551" s="1" t="str">
        <f>"-"</f>
        <v>-</v>
      </c>
      <c r="D551" s="1" t="str">
        <f t="shared" si="153"/>
        <v>每牙</v>
      </c>
      <c r="E551" s="1" t="str">
        <f t="shared" ref="E551:E555" si="158">"治疗费"</f>
        <v>治疗费</v>
      </c>
    </row>
    <row r="552" spans="1:5">
      <c r="A552" s="1" t="str">
        <f>"龈瘤切除术"</f>
        <v>龈瘤切除术</v>
      </c>
      <c r="B552" s="1">
        <v>87</v>
      </c>
      <c r="C552" s="1" t="str">
        <f t="shared" ref="C552:C557" si="159">"次"</f>
        <v>次</v>
      </c>
      <c r="D552" s="1" t="str">
        <f t="shared" ref="D552:D557" si="160">"次"</f>
        <v>次</v>
      </c>
      <c r="E552" s="1" t="str">
        <f t="shared" si="157"/>
        <v>手术费</v>
      </c>
    </row>
    <row r="553" spans="1:5">
      <c r="A553" s="1" t="str">
        <f>"截根术"</f>
        <v>截根术</v>
      </c>
      <c r="B553" s="1">
        <v>108</v>
      </c>
      <c r="C553" s="1" t="str">
        <f t="shared" si="156"/>
        <v>每牙</v>
      </c>
      <c r="D553" s="1" t="str">
        <f t="shared" ref="D553:D555" si="161">"每牙"</f>
        <v>每牙</v>
      </c>
      <c r="E553" s="1" t="str">
        <f t="shared" si="157"/>
        <v>手术费</v>
      </c>
    </row>
    <row r="554" spans="1:5">
      <c r="A554" s="1" t="str">
        <f>"分根术"</f>
        <v>分根术</v>
      </c>
      <c r="B554" s="1">
        <v>76</v>
      </c>
      <c r="C554" s="1" t="str">
        <f t="shared" si="156"/>
        <v>每牙</v>
      </c>
      <c r="D554" s="1" t="str">
        <f t="shared" si="161"/>
        <v>每牙</v>
      </c>
      <c r="E554" s="1" t="str">
        <f t="shared" si="158"/>
        <v>治疗费</v>
      </c>
    </row>
    <row r="555" spans="1:5">
      <c r="A555" s="1" t="str">
        <f>"半牙切除术"</f>
        <v>半牙切除术</v>
      </c>
      <c r="B555" s="1">
        <v>76</v>
      </c>
      <c r="C555" s="1" t="str">
        <f>"-"</f>
        <v>-</v>
      </c>
      <c r="D555" s="1" t="str">
        <f t="shared" si="161"/>
        <v>每牙</v>
      </c>
      <c r="E555" s="1" t="str">
        <f t="shared" si="158"/>
        <v>治疗费</v>
      </c>
    </row>
    <row r="556" spans="1:5">
      <c r="A556" s="1" t="str">
        <f>"口腔颌面软组织清创术(中)"</f>
        <v>口腔颌面软组织清创术(中)</v>
      </c>
      <c r="B556" s="1">
        <v>284</v>
      </c>
      <c r="C556" s="1" t="str">
        <f t="shared" si="159"/>
        <v>次</v>
      </c>
      <c r="D556" s="1" t="str">
        <f t="shared" si="160"/>
        <v>次</v>
      </c>
      <c r="E556" s="1" t="str">
        <f t="shared" ref="E556:E572" si="162">"手术费"</f>
        <v>手术费</v>
      </c>
    </row>
    <row r="557" spans="1:5">
      <c r="A557" s="1" t="str">
        <f>"口腔颌面软组织清创术(小)"</f>
        <v>口腔颌面软组织清创术(小)</v>
      </c>
      <c r="B557" s="1">
        <v>108</v>
      </c>
      <c r="C557" s="1" t="str">
        <f t="shared" si="159"/>
        <v>次</v>
      </c>
      <c r="D557" s="1" t="str">
        <f t="shared" si="160"/>
        <v>次</v>
      </c>
      <c r="E557" s="1" t="str">
        <f t="shared" si="162"/>
        <v>手术费</v>
      </c>
    </row>
    <row r="558" spans="1:5">
      <c r="A558" s="1" t="str">
        <f>"颌骨骨折颌间固定术"</f>
        <v>颌骨骨折颌间固定术</v>
      </c>
      <c r="B558" s="1">
        <v>216</v>
      </c>
      <c r="C558" s="1" t="str">
        <f>"单颌"</f>
        <v>单颌</v>
      </c>
      <c r="D558" s="1" t="str">
        <f>"单颌"</f>
        <v>单颌</v>
      </c>
      <c r="E558" s="1" t="str">
        <f t="shared" si="162"/>
        <v>手术费</v>
      </c>
    </row>
    <row r="559" spans="1:5">
      <c r="A559" s="1" t="str">
        <f>"髁状突陈旧性骨折整复术"</f>
        <v>髁状突陈旧性骨折整复术</v>
      </c>
      <c r="B559" s="1">
        <v>540</v>
      </c>
      <c r="C559" s="1" t="str">
        <f t="shared" ref="C559:C562" si="163">"单侧"</f>
        <v>单侧</v>
      </c>
      <c r="D559" s="1" t="str">
        <f t="shared" ref="D559:D562" si="164">"单侧"</f>
        <v>单侧</v>
      </c>
      <c r="E559" s="1" t="str">
        <f t="shared" si="162"/>
        <v>手术费</v>
      </c>
    </row>
    <row r="560" spans="1:5">
      <c r="A560" s="1" t="str">
        <f>"髁状突骨折切开复位内固定术"</f>
        <v>髁状突骨折切开复位内固定术</v>
      </c>
      <c r="B560" s="1">
        <v>540</v>
      </c>
      <c r="C560" s="1" t="str">
        <f t="shared" si="163"/>
        <v>单侧</v>
      </c>
      <c r="D560" s="1" t="str">
        <f t="shared" si="164"/>
        <v>单侧</v>
      </c>
      <c r="E560" s="1" t="str">
        <f t="shared" si="162"/>
        <v>手术费</v>
      </c>
    </row>
    <row r="561" spans="1:5">
      <c r="A561" s="1" t="str">
        <f>"颧弓骨折复位术"</f>
        <v>颧弓骨折复位术</v>
      </c>
      <c r="B561" s="1">
        <v>432</v>
      </c>
      <c r="C561" s="1" t="str">
        <f t="shared" si="163"/>
        <v>单侧</v>
      </c>
      <c r="D561" s="1" t="str">
        <f t="shared" si="164"/>
        <v>单侧</v>
      </c>
      <c r="E561" s="1" t="str">
        <f t="shared" si="162"/>
        <v>手术费</v>
      </c>
    </row>
    <row r="562" spans="1:5">
      <c r="A562" s="1" t="str">
        <f>"颧骨陈旧性骨折截骨整复术"</f>
        <v>颧骨陈旧性骨折截骨整复术</v>
      </c>
      <c r="B562" s="1">
        <v>540</v>
      </c>
      <c r="C562" s="1" t="str">
        <f t="shared" si="163"/>
        <v>单侧</v>
      </c>
      <c r="D562" s="1" t="str">
        <f t="shared" si="164"/>
        <v>单侧</v>
      </c>
      <c r="E562" s="1" t="str">
        <f t="shared" si="162"/>
        <v>手术费</v>
      </c>
    </row>
    <row r="563" spans="1:5">
      <c r="A563" s="1" t="str">
        <f>"肛周常见疾病手术治疗"</f>
        <v>肛周常见疾病手术治疗</v>
      </c>
      <c r="B563" s="1">
        <v>432</v>
      </c>
      <c r="C563" s="1" t="str">
        <f t="shared" ref="C563:C572" si="165">"次"</f>
        <v>次</v>
      </c>
      <c r="D563" s="1" t="str">
        <f t="shared" ref="D563:D572" si="166">"次"</f>
        <v>次</v>
      </c>
      <c r="E563" s="1" t="str">
        <f t="shared" si="162"/>
        <v>手术费</v>
      </c>
    </row>
    <row r="564" spans="1:5">
      <c r="A564" s="1" t="str">
        <f>"阴囊肿物切除术"</f>
        <v>阴囊肿物切除术</v>
      </c>
      <c r="B564" s="1">
        <v>324</v>
      </c>
      <c r="C564" s="1" t="str">
        <f t="shared" si="165"/>
        <v>次</v>
      </c>
      <c r="D564" s="1" t="str">
        <f t="shared" si="166"/>
        <v>次</v>
      </c>
      <c r="E564" s="1" t="str">
        <f t="shared" si="162"/>
        <v>手术费</v>
      </c>
    </row>
    <row r="565" spans="1:5">
      <c r="A565" s="1" t="str">
        <f>"睾丸鞘膜翻转术"</f>
        <v>睾丸鞘膜翻转术</v>
      </c>
      <c r="B565" s="1">
        <v>432</v>
      </c>
      <c r="C565" s="1" t="str">
        <f>"单侧"</f>
        <v>单侧</v>
      </c>
      <c r="D565" s="1" t="str">
        <f>"单侧"</f>
        <v>单侧</v>
      </c>
      <c r="E565" s="1" t="str">
        <f t="shared" si="162"/>
        <v>手术费</v>
      </c>
    </row>
    <row r="566" spans="1:5">
      <c r="A566" s="1" t="str">
        <f>"包皮环切术"</f>
        <v>包皮环切术</v>
      </c>
      <c r="B566" s="1">
        <v>243</v>
      </c>
      <c r="C566" s="1" t="str">
        <f t="shared" si="165"/>
        <v>次</v>
      </c>
      <c r="D566" s="1" t="str">
        <f t="shared" si="166"/>
        <v>次</v>
      </c>
      <c r="E566" s="1" t="str">
        <f t="shared" si="162"/>
        <v>手术费</v>
      </c>
    </row>
    <row r="567" spans="1:5">
      <c r="A567" s="1" t="str">
        <f>"外阴脓肿切开引流术"</f>
        <v>外阴脓肿切开引流术</v>
      </c>
      <c r="B567" s="1">
        <v>284</v>
      </c>
      <c r="C567" s="1" t="str">
        <f t="shared" si="165"/>
        <v>次</v>
      </c>
      <c r="D567" s="1" t="str">
        <f t="shared" si="166"/>
        <v>次</v>
      </c>
      <c r="E567" s="1" t="str">
        <f t="shared" si="162"/>
        <v>手术费</v>
      </c>
    </row>
    <row r="568" spans="1:5">
      <c r="A568" s="1" t="str">
        <f>"石膏固定术(特大)"</f>
        <v>石膏固定术(特大)</v>
      </c>
      <c r="B568" s="1">
        <v>162</v>
      </c>
      <c r="C568" s="1" t="str">
        <f t="shared" si="165"/>
        <v>次</v>
      </c>
      <c r="D568" s="1" t="str">
        <f t="shared" si="166"/>
        <v>次</v>
      </c>
      <c r="E568" s="1" t="str">
        <f t="shared" si="162"/>
        <v>手术费</v>
      </c>
    </row>
    <row r="569" spans="1:5">
      <c r="A569" s="1" t="str">
        <f>"石膏固定术(大)"</f>
        <v>石膏固定术(大)</v>
      </c>
      <c r="B569" s="1">
        <v>108</v>
      </c>
      <c r="C569" s="1" t="str">
        <f t="shared" si="165"/>
        <v>次</v>
      </c>
      <c r="D569" s="1" t="str">
        <f t="shared" si="166"/>
        <v>次</v>
      </c>
      <c r="E569" s="1" t="str">
        <f t="shared" si="162"/>
        <v>手术费</v>
      </c>
    </row>
    <row r="570" spans="1:5">
      <c r="A570" s="1" t="str">
        <f>"石膏固定术(中)"</f>
        <v>石膏固定术(中)</v>
      </c>
      <c r="B570" s="1">
        <v>97</v>
      </c>
      <c r="C570" s="1" t="str">
        <f t="shared" si="165"/>
        <v>次</v>
      </c>
      <c r="D570" s="1" t="str">
        <f t="shared" si="166"/>
        <v>次</v>
      </c>
      <c r="E570" s="1" t="str">
        <f t="shared" si="162"/>
        <v>手术费</v>
      </c>
    </row>
    <row r="571" spans="1:5">
      <c r="A571" s="1" t="str">
        <f>"石膏固定术(小)"</f>
        <v>石膏固定术(小)</v>
      </c>
      <c r="B571" s="1">
        <v>43</v>
      </c>
      <c r="C571" s="1" t="str">
        <f t="shared" si="165"/>
        <v>次</v>
      </c>
      <c r="D571" s="1" t="str">
        <f t="shared" si="166"/>
        <v>次</v>
      </c>
      <c r="E571" s="1" t="str">
        <f t="shared" si="162"/>
        <v>手术费</v>
      </c>
    </row>
    <row r="572" spans="1:5">
      <c r="A572" s="1" t="str">
        <f>"石膏拆除术"</f>
        <v>石膏拆除术</v>
      </c>
      <c r="B572" s="1">
        <v>22</v>
      </c>
      <c r="C572" s="1" t="str">
        <f t="shared" si="165"/>
        <v>次</v>
      </c>
      <c r="D572" s="1" t="str">
        <f t="shared" si="166"/>
        <v>次</v>
      </c>
      <c r="E572" s="1" t="str">
        <f t="shared" si="162"/>
        <v>手术费</v>
      </c>
    </row>
    <row r="573" spans="1:5">
      <c r="A573" s="1" t="str">
        <f>"各部位多头带包扎术"</f>
        <v>各部位多头带包扎术</v>
      </c>
      <c r="B573" s="1">
        <v>27</v>
      </c>
      <c r="C573" s="1" t="str">
        <f>"每个部位"</f>
        <v>每个部位</v>
      </c>
      <c r="D573" s="1" t="str">
        <f>"每个部位"</f>
        <v>每个部位</v>
      </c>
      <c r="E573" s="1" t="str">
        <f>"治疗费"</f>
        <v>治疗费</v>
      </c>
    </row>
    <row r="574" spans="1:5">
      <c r="A574" s="1" t="str">
        <f>"脓肿切开引流术"</f>
        <v>脓肿切开引流术</v>
      </c>
      <c r="B574" s="1">
        <v>97</v>
      </c>
      <c r="C574" s="1" t="str">
        <f t="shared" ref="C574:C577" si="167">"次"</f>
        <v>次</v>
      </c>
      <c r="D574" s="1" t="str">
        <f>"次"</f>
        <v>次</v>
      </c>
      <c r="E574" s="1" t="str">
        <f t="shared" ref="E574:E578" si="168">"手术费"</f>
        <v>手术费</v>
      </c>
    </row>
    <row r="575" spans="1:5">
      <c r="A575" s="1" t="str">
        <f>"体表异物取出术"</f>
        <v>体表异物取出术</v>
      </c>
      <c r="B575" s="1">
        <v>108</v>
      </c>
      <c r="C575" s="1" t="str">
        <f t="shared" si="167"/>
        <v>次</v>
      </c>
      <c r="D575" s="1" t="str">
        <f>"次"</f>
        <v>次</v>
      </c>
      <c r="E575" s="1" t="str">
        <f t="shared" si="168"/>
        <v>手术费</v>
      </c>
    </row>
    <row r="576" spans="1:5">
      <c r="A576" s="1" t="str">
        <f>"胼胝病变切除修复术"</f>
        <v>胼胝病变切除修复术</v>
      </c>
      <c r="B576" s="1">
        <v>108</v>
      </c>
      <c r="C576" s="1" t="str">
        <f t="shared" si="167"/>
        <v>次</v>
      </c>
      <c r="D576" s="1" t="str">
        <f>"每处 病变"</f>
        <v>每处 病变</v>
      </c>
      <c r="E576" s="1" t="str">
        <f t="shared" si="168"/>
        <v>手术费</v>
      </c>
    </row>
    <row r="577" spans="1:5">
      <c r="A577" s="1" t="str">
        <f>"深部肿物切除术"</f>
        <v>深部肿物切除术</v>
      </c>
      <c r="B577" s="1">
        <v>540</v>
      </c>
      <c r="C577" s="1" t="str">
        <f t="shared" si="167"/>
        <v>次</v>
      </c>
      <c r="D577" s="1" t="str">
        <f>"每个 肿物"</f>
        <v>每个 肿物</v>
      </c>
      <c r="E577" s="1" t="str">
        <f t="shared" si="168"/>
        <v>手术费</v>
      </c>
    </row>
    <row r="578" spans="1:5">
      <c r="A578" s="1" t="str">
        <f>"腋臭切除术"</f>
        <v>腋臭切除术</v>
      </c>
      <c r="B578" s="1">
        <v>284</v>
      </c>
      <c r="C578" s="1" t="str">
        <f>"单侧"</f>
        <v>单侧</v>
      </c>
      <c r="D578" s="1" t="str">
        <f>"单侧"</f>
        <v>单侧</v>
      </c>
      <c r="E578" s="1" t="str">
        <f t="shared" si="168"/>
        <v>手术费</v>
      </c>
    </row>
    <row r="579" spans="1:5">
      <c r="A579" s="1" t="str">
        <f>"红外线治疗"</f>
        <v>红外线治疗</v>
      </c>
      <c r="B579" s="1">
        <v>5</v>
      </c>
      <c r="C579" s="1" t="str">
        <f>"次"</f>
        <v>次</v>
      </c>
      <c r="D579" s="1" t="str">
        <f t="shared" ref="D579:D584" si="169">"每部位"</f>
        <v>每部位</v>
      </c>
      <c r="E579" s="1" t="str">
        <f t="shared" ref="E579:E590" si="170">"治疗费"</f>
        <v>治疗费</v>
      </c>
    </row>
    <row r="580" spans="1:5">
      <c r="A580" s="1" t="str">
        <f>"电诊断"</f>
        <v>电诊断</v>
      </c>
      <c r="B580" s="1">
        <v>15</v>
      </c>
      <c r="C580" s="1" t="str">
        <f>"根"</f>
        <v>根</v>
      </c>
      <c r="D580" s="1" t="str">
        <f>"每根"</f>
        <v>每根</v>
      </c>
      <c r="E580" s="1" t="str">
        <f t="shared" si="170"/>
        <v>治疗费</v>
      </c>
    </row>
    <row r="581" spans="1:5">
      <c r="A581" s="1" t="str">
        <f>"直流电治疗"</f>
        <v>直流电治疗</v>
      </c>
      <c r="B581" s="1">
        <v>8</v>
      </c>
      <c r="C581" s="1" t="str">
        <f t="shared" ref="C581:C586" si="171">"每部位"</f>
        <v>每部位</v>
      </c>
      <c r="D581" s="1" t="str">
        <f t="shared" si="169"/>
        <v>每部位</v>
      </c>
      <c r="E581" s="1" t="str">
        <f t="shared" si="170"/>
        <v>治疗费</v>
      </c>
    </row>
    <row r="582" spans="1:5">
      <c r="A582" s="1" t="str">
        <f>"低频脉冲功能性电刺激治疗"</f>
        <v>低频脉冲功能性电刺激治疗</v>
      </c>
      <c r="B582" s="1">
        <v>8</v>
      </c>
      <c r="C582" s="1" t="str">
        <f t="shared" si="171"/>
        <v>每部位</v>
      </c>
      <c r="D582" s="1" t="str">
        <f t="shared" si="169"/>
        <v>每部位</v>
      </c>
      <c r="E582" s="1" t="str">
        <f t="shared" si="170"/>
        <v>治疗费</v>
      </c>
    </row>
    <row r="583" spans="1:5">
      <c r="A583" s="1" t="str">
        <f>"低频脉冲电治疗"</f>
        <v>低频脉冲电治疗</v>
      </c>
      <c r="B583" s="1">
        <v>8</v>
      </c>
      <c r="C583" s="1" t="str">
        <f t="shared" ref="C583:C601" si="172">"次"</f>
        <v>次</v>
      </c>
      <c r="D583" s="1" t="str">
        <f t="shared" si="169"/>
        <v>每部位</v>
      </c>
      <c r="E583" s="1" t="str">
        <f t="shared" si="170"/>
        <v>治疗费</v>
      </c>
    </row>
    <row r="584" spans="1:5">
      <c r="A584" s="1" t="str">
        <f>"中频脉冲电治疗"</f>
        <v>中频脉冲电治疗</v>
      </c>
      <c r="B584" s="1">
        <v>8</v>
      </c>
      <c r="C584" s="1" t="str">
        <f>"部位"</f>
        <v>部位</v>
      </c>
      <c r="D584" s="1" t="str">
        <f t="shared" si="169"/>
        <v>每部位</v>
      </c>
      <c r="E584" s="1" t="str">
        <f t="shared" si="170"/>
        <v>治疗费</v>
      </c>
    </row>
    <row r="585" spans="1:5">
      <c r="A585" s="1" t="str">
        <f>"超短波治疗"</f>
        <v>超短波治疗</v>
      </c>
      <c r="B585" s="1">
        <v>8</v>
      </c>
      <c r="C585" s="1" t="str">
        <f>"部位"</f>
        <v>部位</v>
      </c>
      <c r="D585" s="1" t="str">
        <f>"每个 部位"</f>
        <v>每个 部位</v>
      </c>
      <c r="E585" s="1" t="str">
        <f t="shared" si="170"/>
        <v>治疗费</v>
      </c>
    </row>
    <row r="586" spans="1:5">
      <c r="A586" s="1" t="str">
        <f>"微波治疗"</f>
        <v>微波治疗</v>
      </c>
      <c r="B586" s="1">
        <v>10</v>
      </c>
      <c r="C586" s="1" t="str">
        <f t="shared" si="171"/>
        <v>每部位</v>
      </c>
      <c r="D586" s="1" t="str">
        <f>"每部位"</f>
        <v>每部位</v>
      </c>
      <c r="E586" s="1" t="str">
        <f t="shared" si="170"/>
        <v>治疗费</v>
      </c>
    </row>
    <row r="587" spans="1:5">
      <c r="A587" s="1" t="str">
        <f>"电子生物反馈疗法"</f>
        <v>电子生物反馈疗法</v>
      </c>
      <c r="B587" s="1">
        <v>20</v>
      </c>
      <c r="C587" s="1" t="str">
        <f t="shared" si="172"/>
        <v>次</v>
      </c>
      <c r="D587" s="1" t="str">
        <f t="shared" ref="D587:D590" si="173">"次"</f>
        <v>次</v>
      </c>
      <c r="E587" s="1" t="str">
        <f t="shared" si="170"/>
        <v>治疗费</v>
      </c>
    </row>
    <row r="588" spans="1:5">
      <c r="A588" s="1" t="str">
        <f>"磁疗"</f>
        <v>磁疗</v>
      </c>
      <c r="B588" s="1">
        <v>8</v>
      </c>
      <c r="C588" s="1" t="str">
        <f t="shared" si="172"/>
        <v>次</v>
      </c>
      <c r="D588" s="1" t="str">
        <f t="shared" si="173"/>
        <v>次</v>
      </c>
      <c r="E588" s="1" t="str">
        <f t="shared" si="170"/>
        <v>治疗费</v>
      </c>
    </row>
    <row r="589" spans="1:5">
      <c r="A589" s="1" t="str">
        <f>"牵引"</f>
        <v>牵引</v>
      </c>
      <c r="B589" s="1">
        <v>25</v>
      </c>
      <c r="C589" s="1" t="str">
        <f t="shared" si="172"/>
        <v>次</v>
      </c>
      <c r="D589" s="1" t="str">
        <f t="shared" si="173"/>
        <v>次</v>
      </c>
      <c r="E589" s="1" t="str">
        <f t="shared" si="170"/>
        <v>治疗费</v>
      </c>
    </row>
    <row r="590" spans="1:5">
      <c r="A590" s="1" t="str">
        <f>"多频振动治疗"</f>
        <v>多频振动治疗</v>
      </c>
      <c r="B590" s="1">
        <v>40</v>
      </c>
      <c r="C590" s="1" t="str">
        <f t="shared" si="172"/>
        <v>次</v>
      </c>
      <c r="D590" s="1" t="str">
        <f t="shared" si="173"/>
        <v>次</v>
      </c>
      <c r="E590" s="1" t="str">
        <f t="shared" si="170"/>
        <v>治疗费</v>
      </c>
    </row>
    <row r="591" spans="1:5">
      <c r="A591" s="1" t="str">
        <f>"等速肌力测定"</f>
        <v>等速肌力测定</v>
      </c>
      <c r="B591" s="1">
        <v>20</v>
      </c>
      <c r="C591" s="1" t="str">
        <f t="shared" si="172"/>
        <v>次</v>
      </c>
      <c r="D591" s="1" t="str">
        <f>"每 关节"</f>
        <v>每 关节</v>
      </c>
      <c r="E591" s="1" t="str">
        <f>"检查费"</f>
        <v>检查费</v>
      </c>
    </row>
    <row r="592" spans="1:5">
      <c r="A592" s="1" t="str">
        <f>"疲劳度测定"</f>
        <v>疲劳度测定</v>
      </c>
      <c r="B592" s="1">
        <v>13</v>
      </c>
      <c r="C592" s="1" t="str">
        <f t="shared" si="172"/>
        <v>次</v>
      </c>
      <c r="D592" s="1" t="str">
        <f>"每次"</f>
        <v>每次</v>
      </c>
      <c r="E592" s="1" t="str">
        <f>"检查费"</f>
        <v>检查费</v>
      </c>
    </row>
    <row r="593" spans="1:5">
      <c r="A593" s="1" t="str">
        <f>"等速肌力训练"</f>
        <v>等速肌力训练</v>
      </c>
      <c r="B593" s="1">
        <v>20</v>
      </c>
      <c r="C593" s="1" t="str">
        <f t="shared" si="172"/>
        <v>次</v>
      </c>
      <c r="D593" s="1" t="str">
        <f t="shared" ref="D593:D601" si="174">"次"</f>
        <v>次</v>
      </c>
      <c r="E593" s="1" t="str">
        <f t="shared" ref="E593:E599" si="175">"治疗费"</f>
        <v>治疗费</v>
      </c>
    </row>
    <row r="594" spans="1:5">
      <c r="A594" s="1" t="str">
        <f>"作业疗法"</f>
        <v>作业疗法</v>
      </c>
      <c r="B594" s="1">
        <v>20</v>
      </c>
      <c r="C594" s="1" t="str">
        <f t="shared" si="172"/>
        <v>次</v>
      </c>
      <c r="D594" s="1" t="str">
        <f t="shared" si="174"/>
        <v>次</v>
      </c>
      <c r="E594" s="1" t="str">
        <f t="shared" si="175"/>
        <v>治疗费</v>
      </c>
    </row>
    <row r="595" spans="1:5">
      <c r="A595" s="1" t="str">
        <f>"骨折手法整复术"</f>
        <v>骨折手法整复术</v>
      </c>
      <c r="B595" s="1">
        <v>145</v>
      </c>
      <c r="C595" s="1" t="str">
        <f t="shared" si="172"/>
        <v>次</v>
      </c>
      <c r="D595" s="1" t="str">
        <f t="shared" si="174"/>
        <v>次</v>
      </c>
      <c r="E595" s="1" t="str">
        <f t="shared" ref="E595:E600" si="176">"手术费"</f>
        <v>手术费</v>
      </c>
    </row>
    <row r="596" spans="1:5">
      <c r="A596" s="1" t="str">
        <f>"骨折手法整复术掌(跖)、指(趾)骨折按脱位"</f>
        <v>骨折手法整复术掌(跖)、指(趾)骨折按脱位</v>
      </c>
      <c r="B596" s="1">
        <v>72</v>
      </c>
      <c r="C596" s="1" t="str">
        <f t="shared" si="172"/>
        <v>次</v>
      </c>
      <c r="D596" s="1" t="str">
        <f t="shared" si="174"/>
        <v>次</v>
      </c>
      <c r="E596" s="1" t="str">
        <f t="shared" si="176"/>
        <v>手术费</v>
      </c>
    </row>
    <row r="597" spans="1:5">
      <c r="A597" s="1" t="str">
        <f>"关节脱位手法整复术"</f>
        <v>关节脱位手法整复术</v>
      </c>
      <c r="B597" s="1">
        <v>78</v>
      </c>
      <c r="C597" s="1" t="str">
        <f t="shared" si="172"/>
        <v>次</v>
      </c>
      <c r="D597" s="1" t="str">
        <f t="shared" si="174"/>
        <v>次</v>
      </c>
      <c r="E597" s="1" t="str">
        <f t="shared" si="175"/>
        <v>治疗费</v>
      </c>
    </row>
    <row r="598" spans="1:5">
      <c r="A598" s="1" t="str">
        <f>"关节脱位手法整复术(下颌关节脱位、指(趾)间关节脱位)"</f>
        <v>关节脱位手法整复术(下颌关节脱位、指(趾)间关节脱位)</v>
      </c>
      <c r="B598" s="1">
        <v>39</v>
      </c>
      <c r="C598" s="1" t="str">
        <f t="shared" si="172"/>
        <v>次</v>
      </c>
      <c r="D598" s="1" t="str">
        <f t="shared" si="174"/>
        <v>次</v>
      </c>
      <c r="E598" s="1" t="str">
        <f t="shared" si="175"/>
        <v>治疗费</v>
      </c>
    </row>
    <row r="599" spans="1:5">
      <c r="A599" s="1" t="str">
        <f>"骨折外固定架固定术"</f>
        <v>骨折外固定架固定术</v>
      </c>
      <c r="B599" s="1">
        <v>195</v>
      </c>
      <c r="C599" s="1" t="str">
        <f t="shared" si="172"/>
        <v>次</v>
      </c>
      <c r="D599" s="1" t="str">
        <f t="shared" si="174"/>
        <v>次</v>
      </c>
      <c r="E599" s="1" t="str">
        <f t="shared" si="175"/>
        <v>治疗费</v>
      </c>
    </row>
    <row r="600" spans="1:5">
      <c r="A600" s="1" t="str">
        <f>"骨折夹板外固定术"</f>
        <v>骨折夹板外固定术</v>
      </c>
      <c r="B600" s="1">
        <v>145</v>
      </c>
      <c r="C600" s="1" t="str">
        <f t="shared" si="172"/>
        <v>次</v>
      </c>
      <c r="D600" s="1" t="str">
        <f t="shared" si="174"/>
        <v>次</v>
      </c>
      <c r="E600" s="1" t="str">
        <f t="shared" si="176"/>
        <v>手术费</v>
      </c>
    </row>
    <row r="601" spans="1:5">
      <c r="A601" s="1" t="str">
        <f>"关节错缝术"</f>
        <v>关节错缝术</v>
      </c>
      <c r="B601" s="1">
        <v>72</v>
      </c>
      <c r="C601" s="1" t="str">
        <f t="shared" si="172"/>
        <v>次</v>
      </c>
      <c r="D601" s="1" t="str">
        <f t="shared" si="174"/>
        <v>次</v>
      </c>
      <c r="E601" s="1" t="str">
        <f t="shared" ref="E601:E621" si="177">"治疗费"</f>
        <v>治疗费</v>
      </c>
    </row>
    <row r="602" spans="1:5">
      <c r="A602" s="1" t="str">
        <f>"中医定向透药疗法"</f>
        <v>中医定向透药疗法</v>
      </c>
      <c r="B602" s="1">
        <v>37</v>
      </c>
      <c r="C602" s="1" t="str">
        <f>"部位"</f>
        <v>部位</v>
      </c>
      <c r="D602" s="1" t="str">
        <f>"每部位"</f>
        <v>每部位</v>
      </c>
      <c r="E602" s="1" t="str">
        <f t="shared" si="177"/>
        <v>治疗费</v>
      </c>
    </row>
    <row r="603" spans="1:5">
      <c r="A603" s="1" t="str">
        <f>"普通针刺"</f>
        <v>普通针刺</v>
      </c>
      <c r="B603" s="1">
        <v>32</v>
      </c>
      <c r="C603" s="1" t="str">
        <f t="shared" ref="C603:C610" si="178">"次"</f>
        <v>次</v>
      </c>
      <c r="D603" s="1" t="str">
        <f t="shared" ref="D603:D610" si="179">"次"</f>
        <v>次</v>
      </c>
      <c r="E603" s="1" t="str">
        <f t="shared" si="177"/>
        <v>治疗费</v>
      </c>
    </row>
    <row r="604" spans="1:5">
      <c r="A604" s="1" t="str">
        <f>"温针"</f>
        <v>温针</v>
      </c>
      <c r="B604" s="1">
        <v>39</v>
      </c>
      <c r="C604" s="1" t="str">
        <f t="shared" si="178"/>
        <v>次</v>
      </c>
      <c r="D604" s="1" t="str">
        <f t="shared" si="179"/>
        <v>次</v>
      </c>
      <c r="E604" s="1" t="str">
        <f t="shared" si="177"/>
        <v>治疗费</v>
      </c>
    </row>
    <row r="605" spans="1:5">
      <c r="A605" s="1" t="str">
        <f>"手指点穴"</f>
        <v>手指点穴</v>
      </c>
      <c r="B605" s="1">
        <v>21</v>
      </c>
      <c r="C605" s="1" t="str">
        <f t="shared" si="178"/>
        <v>次</v>
      </c>
      <c r="D605" s="1" t="str">
        <f t="shared" si="179"/>
        <v>次</v>
      </c>
      <c r="E605" s="1" t="str">
        <f t="shared" si="177"/>
        <v>治疗费</v>
      </c>
    </row>
    <row r="606" spans="1:5">
      <c r="A606" s="1" t="str">
        <f>"微针针刺"</f>
        <v>微针针刺</v>
      </c>
      <c r="B606" s="1">
        <v>32</v>
      </c>
      <c r="C606" s="1" t="str">
        <f t="shared" si="178"/>
        <v>次</v>
      </c>
      <c r="D606" s="1" t="str">
        <f t="shared" si="179"/>
        <v>次</v>
      </c>
      <c r="E606" s="1" t="str">
        <f t="shared" si="177"/>
        <v>治疗费</v>
      </c>
    </row>
    <row r="607" spans="1:5">
      <c r="A607" s="1" t="str">
        <f>"头皮针"</f>
        <v>头皮针</v>
      </c>
      <c r="B607" s="1">
        <v>40</v>
      </c>
      <c r="C607" s="1" t="str">
        <f t="shared" si="178"/>
        <v>次</v>
      </c>
      <c r="D607" s="1" t="str">
        <f t="shared" si="179"/>
        <v>次</v>
      </c>
      <c r="E607" s="1" t="str">
        <f t="shared" si="177"/>
        <v>治疗费</v>
      </c>
    </row>
    <row r="608" spans="1:5">
      <c r="A608" s="1" t="str">
        <f>"眼针"</f>
        <v>眼针</v>
      </c>
      <c r="B608" s="1">
        <v>25</v>
      </c>
      <c r="C608" s="1" t="str">
        <f t="shared" si="178"/>
        <v>次</v>
      </c>
      <c r="D608" s="1" t="str">
        <f t="shared" si="179"/>
        <v>次</v>
      </c>
      <c r="E608" s="1" t="str">
        <f t="shared" si="177"/>
        <v>治疗费</v>
      </c>
    </row>
    <row r="609" spans="1:5">
      <c r="A609" s="1" t="str">
        <f>"梅花针"</f>
        <v>梅花针</v>
      </c>
      <c r="B609" s="1">
        <v>18</v>
      </c>
      <c r="C609" s="1" t="str">
        <f t="shared" si="178"/>
        <v>次</v>
      </c>
      <c r="D609" s="1" t="str">
        <f t="shared" si="179"/>
        <v>次</v>
      </c>
      <c r="E609" s="1" t="str">
        <f t="shared" si="177"/>
        <v>治疗费</v>
      </c>
    </row>
    <row r="610" spans="1:5">
      <c r="A610" s="1" t="str">
        <f>"火针"</f>
        <v>火针</v>
      </c>
      <c r="B610" s="1">
        <v>18</v>
      </c>
      <c r="C610" s="1" t="str">
        <f t="shared" si="178"/>
        <v>次</v>
      </c>
      <c r="D610" s="1" t="str">
        <f t="shared" si="179"/>
        <v>次</v>
      </c>
      <c r="E610" s="1" t="str">
        <f t="shared" si="177"/>
        <v>治疗费</v>
      </c>
    </row>
    <row r="611" spans="1:5">
      <c r="A611" s="1" t="str">
        <f>"埋针治疗"</f>
        <v>埋针治疗</v>
      </c>
      <c r="B611" s="1">
        <v>16</v>
      </c>
      <c r="C611" s="1" t="str">
        <f>"穴位"</f>
        <v>穴位</v>
      </c>
      <c r="D611" s="1" t="str">
        <f t="shared" ref="D611:D616" si="180">"每个 穴位"</f>
        <v>每个 穴位</v>
      </c>
      <c r="E611" s="1" t="str">
        <f t="shared" si="177"/>
        <v>治疗费</v>
      </c>
    </row>
    <row r="612" spans="1:5">
      <c r="A612" s="1" t="str">
        <f>"穴位埋线治疗"</f>
        <v>穴位埋线治疗</v>
      </c>
      <c r="B612" s="1">
        <v>25</v>
      </c>
      <c r="C612" s="1" t="str">
        <f t="shared" ref="C612:C615" si="181">"次"</f>
        <v>次</v>
      </c>
      <c r="D612" s="1" t="str">
        <f t="shared" si="180"/>
        <v>每个 穴位</v>
      </c>
      <c r="E612" s="1" t="str">
        <f t="shared" si="177"/>
        <v>治疗费</v>
      </c>
    </row>
    <row r="613" spans="1:5">
      <c r="A613" s="1" t="str">
        <f>"耳针"</f>
        <v>耳针</v>
      </c>
      <c r="B613" s="1">
        <v>24</v>
      </c>
      <c r="C613" s="1" t="str">
        <f>"单耳"</f>
        <v>单耳</v>
      </c>
      <c r="D613" s="1" t="str">
        <f>"单侧"</f>
        <v>单侧</v>
      </c>
      <c r="E613" s="1" t="str">
        <f t="shared" si="177"/>
        <v>治疗费</v>
      </c>
    </row>
    <row r="614" spans="1:5">
      <c r="A614" s="1" t="str">
        <f>"针刺运动疗法"</f>
        <v>针刺运动疗法</v>
      </c>
      <c r="B614" s="1">
        <v>36</v>
      </c>
      <c r="C614" s="1" t="str">
        <f t="shared" si="181"/>
        <v>次</v>
      </c>
      <c r="D614" s="1" t="str">
        <f t="shared" ref="D614:D617" si="182">"次"</f>
        <v>次</v>
      </c>
      <c r="E614" s="1" t="str">
        <f t="shared" si="177"/>
        <v>治疗费</v>
      </c>
    </row>
    <row r="615" spans="1:5">
      <c r="A615" s="1" t="str">
        <f>"电针"</f>
        <v>电针</v>
      </c>
      <c r="B615" s="1">
        <v>24</v>
      </c>
      <c r="C615" s="1" t="str">
        <f t="shared" si="181"/>
        <v>次</v>
      </c>
      <c r="D615" s="1" t="str">
        <f t="shared" si="182"/>
        <v>次</v>
      </c>
      <c r="E615" s="1" t="str">
        <f t="shared" si="177"/>
        <v>治疗费</v>
      </c>
    </row>
    <row r="616" spans="1:5">
      <c r="A616" s="1" t="str">
        <f>"浮针"</f>
        <v>浮针</v>
      </c>
      <c r="B616" s="1">
        <v>21</v>
      </c>
      <c r="C616" s="1" t="str">
        <f>"穴位"</f>
        <v>穴位</v>
      </c>
      <c r="D616" s="1" t="str">
        <f t="shared" si="180"/>
        <v>每个 穴位</v>
      </c>
      <c r="E616" s="1" t="str">
        <f t="shared" si="177"/>
        <v>治疗费</v>
      </c>
    </row>
    <row r="617" spans="1:5">
      <c r="A617" s="1" t="str">
        <f>"磁热疗法"</f>
        <v>磁热疗法</v>
      </c>
      <c r="B617" s="1">
        <v>15</v>
      </c>
      <c r="C617" s="1" t="str">
        <f t="shared" ref="C617:C626" si="183">"次"</f>
        <v>次</v>
      </c>
      <c r="D617" s="1" t="str">
        <f t="shared" si="182"/>
        <v>次</v>
      </c>
      <c r="E617" s="1" t="str">
        <f t="shared" si="177"/>
        <v>治疗费</v>
      </c>
    </row>
    <row r="618" spans="1:5">
      <c r="A618" s="1" t="str">
        <f>"穴位注射"</f>
        <v>穴位注射</v>
      </c>
      <c r="B618" s="1">
        <v>20</v>
      </c>
      <c r="C618" s="1" t="str">
        <f>"穴位"</f>
        <v>穴位</v>
      </c>
      <c r="D618" s="1" t="str">
        <f>"二个 穴位"</f>
        <v>二个 穴位</v>
      </c>
      <c r="E618" s="1" t="str">
        <f t="shared" si="177"/>
        <v>治疗费</v>
      </c>
    </row>
    <row r="619" spans="1:5">
      <c r="A619" s="1" t="str">
        <f>"子午流注开穴法"</f>
        <v>子午流注开穴法</v>
      </c>
      <c r="B619" s="1">
        <v>30</v>
      </c>
      <c r="C619" s="1" t="str">
        <f t="shared" si="183"/>
        <v>次</v>
      </c>
      <c r="D619" s="1" t="str">
        <f t="shared" ref="D619:D622" si="184">"次"</f>
        <v>次</v>
      </c>
      <c r="E619" s="1" t="str">
        <f t="shared" si="177"/>
        <v>治疗费</v>
      </c>
    </row>
    <row r="620" spans="1:5">
      <c r="A620" s="1" t="str">
        <f>"小针刀治疗"</f>
        <v>小针刀治疗</v>
      </c>
      <c r="B620" s="1">
        <v>72</v>
      </c>
      <c r="C620" s="1" t="str">
        <f>"每个部位"</f>
        <v>每个部位</v>
      </c>
      <c r="D620" s="1" t="str">
        <f>"每个部位"</f>
        <v>每个部位</v>
      </c>
      <c r="E620" s="1" t="str">
        <f t="shared" si="177"/>
        <v>治疗费</v>
      </c>
    </row>
    <row r="621" spans="1:5">
      <c r="A621" s="1" t="str">
        <f>"煎药机煎药"</f>
        <v>煎药机煎药</v>
      </c>
      <c r="B621" s="1">
        <v>2.2</v>
      </c>
      <c r="C621" s="1" t="str">
        <f t="shared" si="183"/>
        <v>次</v>
      </c>
      <c r="D621" s="1" t="str">
        <f t="shared" si="184"/>
        <v>次</v>
      </c>
      <c r="E621" s="1" t="str">
        <f t="shared" si="177"/>
        <v>治疗费</v>
      </c>
    </row>
    <row r="622" spans="1:5">
      <c r="A622" s="1" t="str">
        <f>"斜视度测定（减免）"</f>
        <v>斜视度测定（减免）</v>
      </c>
      <c r="B622" s="1">
        <v>16</v>
      </c>
      <c r="C622" s="1" t="str">
        <f t="shared" si="183"/>
        <v>次</v>
      </c>
      <c r="D622" s="1" t="str">
        <f t="shared" si="184"/>
        <v>次</v>
      </c>
      <c r="E622" s="1" t="str">
        <f>"检查费"</f>
        <v>检查费</v>
      </c>
    </row>
    <row r="623" spans="1:5">
      <c r="A623" s="1" t="str">
        <f>"阻生牙拔除术"</f>
        <v>阻生牙拔除术</v>
      </c>
      <c r="B623" s="1">
        <v>120</v>
      </c>
      <c r="C623" s="1" t="str">
        <f t="shared" si="183"/>
        <v>次</v>
      </c>
      <c r="D623" s="1" t="str">
        <f>"每牙"</f>
        <v>每牙</v>
      </c>
      <c r="E623" s="1" t="str">
        <f>"其他手术费(门急诊小手术)"</f>
        <v>其他手术费(门急诊小手术)</v>
      </c>
    </row>
    <row r="624" spans="1:5">
      <c r="A624" s="1" t="str">
        <f>"阻生智齿龈瓣整形术"</f>
        <v>阻生智齿龈瓣整形术</v>
      </c>
      <c r="B624" s="1">
        <v>60</v>
      </c>
      <c r="C624" s="1" t="str">
        <f t="shared" si="183"/>
        <v>次</v>
      </c>
      <c r="D624" s="1" t="str">
        <f>"每牙"</f>
        <v>每牙</v>
      </c>
      <c r="E624" s="1" t="str">
        <f>"其他手术费(门急诊小手术)"</f>
        <v>其他手术费(门急诊小手术)</v>
      </c>
    </row>
    <row r="625" spans="1:5">
      <c r="A625" s="1" t="str">
        <f>"人免疫缺陷病毒抗体测定(Anti-HIV)（减免）"</f>
        <v>人免疫缺陷病毒抗体测定(Anti-HIV)（减免）</v>
      </c>
      <c r="B625" s="1" t="str">
        <f>"0"</f>
        <v>0</v>
      </c>
      <c r="C625" s="1" t="str">
        <f t="shared" si="183"/>
        <v>次</v>
      </c>
      <c r="D625" s="1" t="str">
        <f>"项"</f>
        <v>项</v>
      </c>
      <c r="E625" s="1" t="str">
        <f>"检验费"</f>
        <v>检验费</v>
      </c>
    </row>
    <row r="626" spans="1:5">
      <c r="A626" s="1" t="str">
        <f>"彩色多普勒超声常规检查"</f>
        <v>彩色多普勒超声常规检查</v>
      </c>
      <c r="B626" s="1">
        <v>24</v>
      </c>
      <c r="C626" s="1" t="str">
        <f t="shared" si="183"/>
        <v>次</v>
      </c>
      <c r="D626" s="1" t="str">
        <f>"每部位"</f>
        <v>每部位</v>
      </c>
      <c r="E626" s="1" t="str">
        <f>"彩超费"</f>
        <v>彩超费</v>
      </c>
    </row>
    <row r="627" spans="1:5">
      <c r="A627" s="1" t="str">
        <f>"视网膜视力检查（减免)"</f>
        <v>视网膜视力检查（减免)</v>
      </c>
      <c r="B627" s="1">
        <v>24</v>
      </c>
      <c r="C627" s="1" t="str">
        <f>"次"</f>
        <v>次</v>
      </c>
      <c r="D627" s="1" t="str">
        <f>"次"</f>
        <v>次</v>
      </c>
      <c r="E627" s="1" t="str">
        <f>"检查费"</f>
        <v>检查费</v>
      </c>
    </row>
    <row r="628" spans="1:5">
      <c r="A628" s="1" t="str">
        <f>"血细胞分析(五分类)(免费)"</f>
        <v>血细胞分析(五分类)(免费)</v>
      </c>
      <c r="B628" s="1" t="str">
        <f t="shared" ref="B628:B638" si="185">"0"</f>
        <v>0</v>
      </c>
      <c r="C628" s="1" t="str">
        <f t="shared" ref="C628:C638" si="186">"项"</f>
        <v>项</v>
      </c>
      <c r="D628" s="1" t="str">
        <f t="shared" ref="D628:D638" si="187">"项"</f>
        <v>项</v>
      </c>
      <c r="E628" s="1" t="str">
        <f t="shared" ref="E628:E638" si="188">"检验费"</f>
        <v>检验费</v>
      </c>
    </row>
    <row r="629" spans="1:5">
      <c r="A629" s="1" t="str">
        <f>"尿液分析(使用抗维生C试剂条加收)(免费)"</f>
        <v>尿液分析(使用抗维生C试剂条加收)(免费)</v>
      </c>
      <c r="B629" s="1" t="str">
        <f t="shared" si="185"/>
        <v>0</v>
      </c>
      <c r="C629" s="1" t="str">
        <f t="shared" si="186"/>
        <v>项</v>
      </c>
      <c r="D629" s="1" t="str">
        <f t="shared" si="187"/>
        <v>项</v>
      </c>
      <c r="E629" s="1" t="str">
        <f t="shared" si="188"/>
        <v>检验费</v>
      </c>
    </row>
    <row r="630" spans="1:5">
      <c r="A630" s="1" t="str">
        <f>"血清丙氨酸氨基转移酶测定（免费）"</f>
        <v>血清丙氨酸氨基转移酶测定（免费）</v>
      </c>
      <c r="B630" s="1" t="str">
        <f t="shared" si="185"/>
        <v>0</v>
      </c>
      <c r="C630" s="1" t="str">
        <f t="shared" si="186"/>
        <v>项</v>
      </c>
      <c r="D630" s="1" t="str">
        <f t="shared" si="187"/>
        <v>项</v>
      </c>
      <c r="E630" s="1" t="str">
        <f t="shared" si="188"/>
        <v>检验费</v>
      </c>
    </row>
    <row r="631" spans="1:5">
      <c r="A631" s="1" t="str">
        <f>"血清天门冬氨酸基转移酶测定（免费）"</f>
        <v>血清天门冬氨酸基转移酶测定（免费）</v>
      </c>
      <c r="B631" s="1" t="str">
        <f t="shared" si="185"/>
        <v>0</v>
      </c>
      <c r="C631" s="1" t="str">
        <f t="shared" si="186"/>
        <v>项</v>
      </c>
      <c r="D631" s="1" t="str">
        <f t="shared" si="187"/>
        <v>项</v>
      </c>
      <c r="E631" s="1" t="str">
        <f t="shared" si="188"/>
        <v>检验费</v>
      </c>
    </row>
    <row r="632" spans="1:5">
      <c r="A632" s="1" t="str">
        <f>"尿素测定（免费）"</f>
        <v>尿素测定（免费）</v>
      </c>
      <c r="B632" s="1" t="str">
        <f t="shared" si="185"/>
        <v>0</v>
      </c>
      <c r="C632" s="1" t="str">
        <f t="shared" si="186"/>
        <v>项</v>
      </c>
      <c r="D632" s="1" t="str">
        <f t="shared" si="187"/>
        <v>项</v>
      </c>
      <c r="E632" s="1" t="str">
        <f t="shared" si="188"/>
        <v>检验费</v>
      </c>
    </row>
    <row r="633" spans="1:5">
      <c r="A633" s="1" t="str">
        <f>"乙型肝炎表面抗原测定(HBsAg)"</f>
        <v>乙型肝炎表面抗原测定(HBsAg)</v>
      </c>
      <c r="B633" s="1" t="str">
        <f t="shared" si="185"/>
        <v>0</v>
      </c>
      <c r="C633" s="1" t="str">
        <f t="shared" si="186"/>
        <v>项</v>
      </c>
      <c r="D633" s="1" t="str">
        <f t="shared" si="187"/>
        <v>项</v>
      </c>
      <c r="E633" s="1" t="str">
        <f t="shared" si="188"/>
        <v>检验费</v>
      </c>
    </row>
    <row r="634" spans="1:5">
      <c r="A634" s="1" t="str">
        <f>"乙型肝炎表面抗体测定(Anti-HBs)（免费）"</f>
        <v>乙型肝炎表面抗体测定(Anti-HBs)（免费）</v>
      </c>
      <c r="B634" s="1" t="str">
        <f t="shared" si="185"/>
        <v>0</v>
      </c>
      <c r="C634" s="1" t="str">
        <f t="shared" si="186"/>
        <v>项</v>
      </c>
      <c r="D634" s="1" t="str">
        <f t="shared" si="187"/>
        <v>项</v>
      </c>
      <c r="E634" s="1" t="str">
        <f t="shared" si="188"/>
        <v>检验费</v>
      </c>
    </row>
    <row r="635" spans="1:5">
      <c r="A635" s="1" t="str">
        <f>"乙型肝炎e抗体测定(HBeAg)"</f>
        <v>乙型肝炎e抗体测定(HBeAg)</v>
      </c>
      <c r="B635" s="1" t="str">
        <f t="shared" si="185"/>
        <v>0</v>
      </c>
      <c r="C635" s="1" t="str">
        <f t="shared" si="186"/>
        <v>项</v>
      </c>
      <c r="D635" s="1" t="str">
        <f t="shared" si="187"/>
        <v>项</v>
      </c>
      <c r="E635" s="1" t="str">
        <f t="shared" si="188"/>
        <v>检验费</v>
      </c>
    </row>
    <row r="636" spans="1:5">
      <c r="A636" s="1" t="str">
        <f>"乙型肝炎e抗体测定(Anti-HBe)（免费）"</f>
        <v>乙型肝炎e抗体测定(Anti-HBe)（免费）</v>
      </c>
      <c r="B636" s="1" t="str">
        <f t="shared" si="185"/>
        <v>0</v>
      </c>
      <c r="C636" s="1" t="str">
        <f t="shared" si="186"/>
        <v>项</v>
      </c>
      <c r="D636" s="1" t="str">
        <f t="shared" si="187"/>
        <v>项</v>
      </c>
      <c r="E636" s="1" t="str">
        <f t="shared" si="188"/>
        <v>检验费</v>
      </c>
    </row>
    <row r="637" spans="1:5">
      <c r="A637" s="1" t="str">
        <f>"乙型肝炎核心抗体测定(Anti）(免费)"</f>
        <v>乙型肝炎核心抗体测定(Anti）(免费)</v>
      </c>
      <c r="B637" s="1" t="str">
        <f t="shared" si="185"/>
        <v>0</v>
      </c>
      <c r="C637" s="1" t="str">
        <f t="shared" si="186"/>
        <v>项</v>
      </c>
      <c r="D637" s="1" t="str">
        <f t="shared" si="187"/>
        <v>项</v>
      </c>
      <c r="E637" s="1" t="str">
        <f t="shared" si="188"/>
        <v>检验费</v>
      </c>
    </row>
    <row r="638" spans="1:5">
      <c r="A638" s="1" t="str">
        <f>"ABO血型鉴定"</f>
        <v>ABO血型鉴定</v>
      </c>
      <c r="B638" s="1" t="str">
        <f t="shared" si="185"/>
        <v>0</v>
      </c>
      <c r="C638" s="1" t="str">
        <f t="shared" si="186"/>
        <v>项</v>
      </c>
      <c r="D638" s="1" t="str">
        <f t="shared" si="187"/>
        <v>项</v>
      </c>
      <c r="E638" s="1" t="str">
        <f t="shared" si="188"/>
        <v>检验费</v>
      </c>
    </row>
    <row r="639" spans="1:5">
      <c r="A639" s="1" t="str">
        <f>"骨密度测定（签约）"</f>
        <v>骨密度测定（签约）</v>
      </c>
      <c r="B639" s="1">
        <v>24</v>
      </c>
      <c r="C639" s="1" t="str">
        <f t="shared" ref="C639:C641" si="189">"/"</f>
        <v>/</v>
      </c>
      <c r="D639" s="1" t="str">
        <f t="shared" ref="D639:D641" si="190">"次"</f>
        <v>次</v>
      </c>
      <c r="E639" s="1" t="str">
        <f>"检查费"</f>
        <v>检查费</v>
      </c>
    </row>
    <row r="640" spans="1:5">
      <c r="A640" s="1" t="str">
        <f>"感觉阈值测量（签约）"</f>
        <v>感觉阈值测量（签约）</v>
      </c>
      <c r="B640" s="1">
        <v>6</v>
      </c>
      <c r="C640" s="1" t="str">
        <f t="shared" si="189"/>
        <v>/</v>
      </c>
      <c r="D640" s="1" t="str">
        <f t="shared" si="190"/>
        <v>次</v>
      </c>
      <c r="E640" s="1" t="str">
        <f>"治疗费"</f>
        <v>治疗费</v>
      </c>
    </row>
    <row r="641" spans="1:5">
      <c r="A641" s="1" t="str">
        <f>"计算机图文报告（签约）"</f>
        <v>计算机图文报告（签约）</v>
      </c>
      <c r="B641" s="1">
        <v>3</v>
      </c>
      <c r="C641" s="1" t="str">
        <f t="shared" si="189"/>
        <v>/</v>
      </c>
      <c r="D641" s="1" t="str">
        <f t="shared" si="190"/>
        <v>次</v>
      </c>
      <c r="E641" s="1" t="str">
        <f>"治疗费"</f>
        <v>治疗费</v>
      </c>
    </row>
    <row r="642" spans="1:5">
      <c r="A642" s="1" t="str">
        <f>"梅毒螺旋体特异抗体测定（凝集法）"</f>
        <v>梅毒螺旋体特异抗体测定（凝集法）</v>
      </c>
      <c r="B642" s="1" t="str">
        <f>"0"</f>
        <v>0</v>
      </c>
      <c r="C642" s="1" t="str">
        <f t="shared" ref="C642:C649" si="191">"项"</f>
        <v>项</v>
      </c>
      <c r="D642" s="1" t="str">
        <f t="shared" ref="D642:D649" si="192">"项"</f>
        <v>项</v>
      </c>
      <c r="E642" s="1" t="str">
        <f t="shared" ref="E642:E645" si="193">"检验费"</f>
        <v>检验费</v>
      </c>
    </row>
    <row r="643" spans="1:5">
      <c r="A643" s="1" t="str">
        <f>"健康宣教"</f>
        <v>健康宣教</v>
      </c>
      <c r="B643" s="1">
        <v>2</v>
      </c>
      <c r="C643" s="1" t="str">
        <f>"次"</f>
        <v>次</v>
      </c>
      <c r="D643" s="1" t="str">
        <f>"次"</f>
        <v>次</v>
      </c>
      <c r="E643" s="1" t="str">
        <f>"其他收入"</f>
        <v>其他收入</v>
      </c>
    </row>
    <row r="644" spans="1:5">
      <c r="A644" s="1" t="str">
        <f>"尿液分析（妇儿保专用）"</f>
        <v>尿液分析（妇儿保专用）</v>
      </c>
      <c r="B644" s="1" t="str">
        <f>"0"</f>
        <v>0</v>
      </c>
      <c r="C644" s="1" t="str">
        <f t="shared" si="191"/>
        <v>项</v>
      </c>
      <c r="D644" s="1" t="str">
        <f t="shared" si="192"/>
        <v>项</v>
      </c>
      <c r="E644" s="1" t="str">
        <f t="shared" si="193"/>
        <v>检验费</v>
      </c>
    </row>
    <row r="645" spans="1:5">
      <c r="A645" s="1" t="str">
        <f>"阴道分泌物检查"</f>
        <v>阴道分泌物检查</v>
      </c>
      <c r="B645" s="1">
        <v>5</v>
      </c>
      <c r="C645" s="1" t="str">
        <f t="shared" si="191"/>
        <v>项</v>
      </c>
      <c r="D645" s="1" t="str">
        <f t="shared" si="192"/>
        <v>项</v>
      </c>
      <c r="E645" s="1" t="str">
        <f t="shared" si="193"/>
        <v>检验费</v>
      </c>
    </row>
    <row r="646" spans="1:5">
      <c r="A646" s="1" t="str">
        <f>"糖尿病个性服务包"</f>
        <v>糖尿病个性服务包</v>
      </c>
      <c r="B646" s="1">
        <v>60</v>
      </c>
      <c r="C646" s="1" t="str">
        <f t="shared" si="191"/>
        <v>项</v>
      </c>
      <c r="D646" s="1" t="str">
        <f t="shared" si="192"/>
        <v>项</v>
      </c>
      <c r="E646" s="1" t="str">
        <f>"治疗费"</f>
        <v>治疗费</v>
      </c>
    </row>
    <row r="647" spans="1:5">
      <c r="A647" s="1" t="str">
        <f>"足部感觉阈值测定（签约服务包专用）"</f>
        <v>足部感觉阈值测定（签约服务包专用）</v>
      </c>
      <c r="B647" s="1">
        <v>5</v>
      </c>
      <c r="C647" s="1" t="str">
        <f t="shared" si="191"/>
        <v>项</v>
      </c>
      <c r="D647" s="1" t="str">
        <f t="shared" si="192"/>
        <v>项</v>
      </c>
      <c r="E647" s="1" t="str">
        <f>"检查费"</f>
        <v>检查费</v>
      </c>
    </row>
    <row r="648" spans="1:5">
      <c r="A648" s="1" t="str">
        <f>"家庭医生签约基本服务包"</f>
        <v>家庭医生签约基本服务包</v>
      </c>
      <c r="B648" s="1">
        <v>15</v>
      </c>
      <c r="C648" s="1" t="str">
        <f t="shared" si="191"/>
        <v>项</v>
      </c>
      <c r="D648" s="1" t="str">
        <f t="shared" si="192"/>
        <v>项</v>
      </c>
      <c r="E648" s="1" t="str">
        <f>"签约服务费"</f>
        <v>签约服务费</v>
      </c>
    </row>
    <row r="649" spans="1:5">
      <c r="A649" s="1" t="str">
        <f>"高血压个性服务包"</f>
        <v>高血压个性服务包</v>
      </c>
      <c r="B649" s="1">
        <v>60</v>
      </c>
      <c r="C649" s="1" t="str">
        <f t="shared" si="191"/>
        <v>项</v>
      </c>
      <c r="D649" s="1" t="str">
        <f t="shared" si="192"/>
        <v>项</v>
      </c>
      <c r="E649" s="1" t="str">
        <f t="shared" ref="E649:E654" si="194">"治疗费"</f>
        <v>治疗费</v>
      </c>
    </row>
    <row r="650" spans="1:5">
      <c r="A650" s="1" t="str">
        <f>"颈部血管彩色多普勒（签约）"</f>
        <v>颈部血管彩色多普勒（签约）</v>
      </c>
      <c r="B650" s="1">
        <v>30</v>
      </c>
      <c r="C650" s="1" t="str">
        <f t="shared" ref="C650:C658" si="195">"次"</f>
        <v>次</v>
      </c>
      <c r="D650" s="1" t="str">
        <f>"每根"</f>
        <v>每根</v>
      </c>
      <c r="E650" s="1" t="str">
        <f>"彩超费"</f>
        <v>彩超费</v>
      </c>
    </row>
    <row r="651" spans="1:5">
      <c r="A651" s="1" t="str">
        <f>"眼位照相（减免）"</f>
        <v>眼位照相（减免）</v>
      </c>
      <c r="B651" s="1">
        <v>12</v>
      </c>
      <c r="C651" s="1" t="str">
        <f>"项"</f>
        <v>项</v>
      </c>
      <c r="D651" s="1" t="str">
        <f t="shared" ref="D651:D658" si="196">"次"</f>
        <v>次</v>
      </c>
      <c r="E651" s="1" t="str">
        <f t="shared" ref="E651:E657" si="197">"检查费"</f>
        <v>检查费</v>
      </c>
    </row>
    <row r="652" spans="1:5">
      <c r="A652" s="1" t="str">
        <f>"普通针刺(家医签约)"</f>
        <v>普通针刺(家医签约)</v>
      </c>
      <c r="B652" s="1">
        <v>5</v>
      </c>
      <c r="C652" s="1" t="str">
        <f t="shared" si="195"/>
        <v>次</v>
      </c>
      <c r="D652" s="1" t="str">
        <f t="shared" si="196"/>
        <v>次</v>
      </c>
      <c r="E652" s="1" t="str">
        <f t="shared" si="194"/>
        <v>治疗费</v>
      </c>
    </row>
    <row r="653" spans="1:5">
      <c r="A653" s="1" t="str">
        <f>"拔罐疗法(家医签约)"</f>
        <v>拔罐疗法(家医签约)</v>
      </c>
      <c r="B653" s="1">
        <v>2.5</v>
      </c>
      <c r="C653" s="1" t="str">
        <f t="shared" si="195"/>
        <v>次</v>
      </c>
      <c r="D653" s="1" t="str">
        <f t="shared" si="196"/>
        <v>次</v>
      </c>
      <c r="E653" s="1" t="str">
        <f t="shared" si="194"/>
        <v>治疗费</v>
      </c>
    </row>
    <row r="654" spans="1:5">
      <c r="A654" s="1" t="str">
        <f>"红外线治疗(家医签约)"</f>
        <v>红外线治疗(家医签约)</v>
      </c>
      <c r="B654" s="1">
        <v>1</v>
      </c>
      <c r="C654" s="1" t="str">
        <f t="shared" si="195"/>
        <v>次</v>
      </c>
      <c r="D654" s="1" t="str">
        <f t="shared" si="196"/>
        <v>次</v>
      </c>
      <c r="E654" s="1" t="str">
        <f t="shared" si="194"/>
        <v>治疗费</v>
      </c>
    </row>
    <row r="655" spans="1:5">
      <c r="A655" s="1" t="str">
        <f>"骨密度测定(签约免费包)"</f>
        <v>骨密度测定(签约免费包)</v>
      </c>
      <c r="B655" s="1">
        <v>1</v>
      </c>
      <c r="C655" s="1" t="str">
        <f t="shared" si="195"/>
        <v>次</v>
      </c>
      <c r="D655" s="1" t="str">
        <f t="shared" si="196"/>
        <v>次</v>
      </c>
      <c r="E655" s="1" t="str">
        <f t="shared" si="197"/>
        <v>检查费</v>
      </c>
    </row>
    <row r="656" spans="1:5">
      <c r="A656" s="1" t="str">
        <f>"胎心监测（妇保）"</f>
        <v>胎心监测（妇保）</v>
      </c>
      <c r="B656" s="1">
        <v>20</v>
      </c>
      <c r="C656" s="1" t="str">
        <f t="shared" si="195"/>
        <v>次</v>
      </c>
      <c r="D656" s="1" t="str">
        <f t="shared" si="196"/>
        <v>次</v>
      </c>
      <c r="E656" s="1" t="str">
        <f t="shared" si="197"/>
        <v>检查费</v>
      </c>
    </row>
    <row r="657" spans="1:5">
      <c r="A657" s="1" t="str">
        <f>"9条目患者健康问卷（妇保）"</f>
        <v>9条目患者健康问卷（妇保）</v>
      </c>
      <c r="B657" s="1">
        <v>30</v>
      </c>
      <c r="C657" s="1" t="str">
        <f t="shared" si="195"/>
        <v>次</v>
      </c>
      <c r="D657" s="1" t="str">
        <f t="shared" si="196"/>
        <v>次</v>
      </c>
      <c r="E657" s="1" t="str">
        <f t="shared" si="197"/>
        <v>检查费</v>
      </c>
    </row>
    <row r="658" spans="1:5">
      <c r="A658" s="1" t="str">
        <f>"新型冠状病毒抗原检测"</f>
        <v>新型冠状病毒抗原检测</v>
      </c>
      <c r="B658" s="1">
        <v>2</v>
      </c>
      <c r="C658" s="1" t="str">
        <f t="shared" si="195"/>
        <v>次</v>
      </c>
      <c r="D658" s="1" t="str">
        <f t="shared" si="196"/>
        <v>次</v>
      </c>
      <c r="E658" s="1" t="str">
        <f>"检验费"</f>
        <v>检验费</v>
      </c>
    </row>
    <row r="659" spans="1:5">
      <c r="A659" s="1" t="str">
        <f>"儿童流感疫苗"</f>
        <v>儿童流感疫苗</v>
      </c>
      <c r="B659" s="1">
        <v>29</v>
      </c>
      <c r="C659" s="1" t="str">
        <f>"0.25ml"</f>
        <v>0.25ml</v>
      </c>
      <c r="D659" s="1" t="str">
        <f t="shared" ref="D659:D697" si="198">"支"</f>
        <v>支</v>
      </c>
      <c r="E659" s="1" t="str">
        <f t="shared" ref="E659:E709" si="199">"生物制品"</f>
        <v>生物制品</v>
      </c>
    </row>
    <row r="660" spans="1:5">
      <c r="A660" s="1" t="str">
        <f>"成人流感疫苗"</f>
        <v>成人流感疫苗</v>
      </c>
      <c r="B660" s="1">
        <v>128</v>
      </c>
      <c r="C660" s="1" t="str">
        <f t="shared" ref="C660:C663" si="200">"0.5ml"</f>
        <v>0.5ml</v>
      </c>
      <c r="D660" s="1" t="str">
        <f t="shared" si="198"/>
        <v>支</v>
      </c>
      <c r="E660" s="1" t="str">
        <f t="shared" si="199"/>
        <v>生物制品</v>
      </c>
    </row>
    <row r="661" spans="1:5">
      <c r="A661" s="1" t="str">
        <f>"五联疫苗"</f>
        <v>五联疫苗</v>
      </c>
      <c r="B661" s="1">
        <v>600</v>
      </c>
      <c r="C661" s="1" t="str">
        <f>"支"</f>
        <v>支</v>
      </c>
      <c r="D661" s="1" t="str">
        <f t="shared" si="198"/>
        <v>支</v>
      </c>
      <c r="E661" s="1" t="str">
        <f t="shared" si="199"/>
        <v>生物制品</v>
      </c>
    </row>
    <row r="662" spans="1:5">
      <c r="A662" s="1" t="str">
        <f>"13价肺炎疫苗"</f>
        <v>13价肺炎疫苗</v>
      </c>
      <c r="B662" s="1">
        <v>698</v>
      </c>
      <c r="C662" s="1" t="str">
        <f t="shared" si="200"/>
        <v>0.5ml</v>
      </c>
      <c r="D662" s="1" t="str">
        <f t="shared" si="198"/>
        <v>支</v>
      </c>
      <c r="E662" s="1" t="str">
        <f t="shared" si="199"/>
        <v>生物制品</v>
      </c>
    </row>
    <row r="663" spans="1:5">
      <c r="A663" s="1" t="str">
        <f>"23价肺炎疫苗"</f>
        <v>23价肺炎疫苗</v>
      </c>
      <c r="B663" s="1">
        <v>209</v>
      </c>
      <c r="C663" s="1" t="str">
        <f t="shared" si="200"/>
        <v>0.5ml</v>
      </c>
      <c r="D663" s="1" t="str">
        <f t="shared" si="198"/>
        <v>支</v>
      </c>
      <c r="E663" s="1" t="str">
        <f t="shared" si="199"/>
        <v>生物制品</v>
      </c>
    </row>
    <row r="664" spans="1:5">
      <c r="A664" s="1" t="str">
        <f>"口服轮状病毒疫苗"</f>
        <v>口服轮状病毒疫苗</v>
      </c>
      <c r="B664" s="1">
        <v>172</v>
      </c>
      <c r="C664" s="1" t="str">
        <f>"3ml"</f>
        <v>3ml</v>
      </c>
      <c r="D664" s="1" t="str">
        <f t="shared" si="198"/>
        <v>支</v>
      </c>
      <c r="E664" s="1" t="str">
        <f t="shared" si="199"/>
        <v>生物制品</v>
      </c>
    </row>
    <row r="665" spans="1:5">
      <c r="A665" s="1" t="str">
        <f>"手足口EV71二倍体疫苗"</f>
        <v>手足口EV71二倍体疫苗</v>
      </c>
      <c r="B665" s="1">
        <v>188</v>
      </c>
      <c r="C665" s="1" t="str">
        <f t="shared" ref="C665:C669" si="201">"0.5ml"</f>
        <v>0.5ml</v>
      </c>
      <c r="D665" s="1" t="str">
        <f t="shared" si="198"/>
        <v>支</v>
      </c>
      <c r="E665" s="1" t="str">
        <f t="shared" si="199"/>
        <v>生物制品</v>
      </c>
    </row>
    <row r="666" spans="1:5">
      <c r="A666" s="1" t="str">
        <f>"成人乙肝疫苗"</f>
        <v>成人乙肝疫苗</v>
      </c>
      <c r="B666" s="1">
        <v>88</v>
      </c>
      <c r="C666" s="1" t="str">
        <f t="shared" si="201"/>
        <v>0.5ml</v>
      </c>
      <c r="D666" s="1" t="str">
        <f t="shared" si="198"/>
        <v>支</v>
      </c>
      <c r="E666" s="1" t="str">
        <f t="shared" si="199"/>
        <v>生物制品</v>
      </c>
    </row>
    <row r="667" spans="1:5">
      <c r="A667" s="1" t="str">
        <f>"水痘疫苗"</f>
        <v>水痘疫苗</v>
      </c>
      <c r="B667" s="1">
        <v>136</v>
      </c>
      <c r="C667" s="1" t="str">
        <f t="shared" si="201"/>
        <v>0.5ml</v>
      </c>
      <c r="D667" s="1" t="str">
        <f t="shared" si="198"/>
        <v>支</v>
      </c>
      <c r="E667" s="1" t="str">
        <f t="shared" si="199"/>
        <v>生物制品</v>
      </c>
    </row>
    <row r="668" spans="1:5">
      <c r="A668" s="1" t="str">
        <f>"二价HPV(希瑞适)"</f>
        <v>二价HPV(希瑞适)</v>
      </c>
      <c r="B668" s="1">
        <v>580</v>
      </c>
      <c r="C668" s="1" t="str">
        <f t="shared" si="201"/>
        <v>0.5ml</v>
      </c>
      <c r="D668" s="1" t="str">
        <f t="shared" si="198"/>
        <v>支</v>
      </c>
      <c r="E668" s="1" t="str">
        <f t="shared" si="199"/>
        <v>生物制品</v>
      </c>
    </row>
    <row r="669" spans="1:5">
      <c r="A669" s="1" t="str">
        <f>"四价HPV疫苗(佳达修)"</f>
        <v>四价HPV疫苗(佳达修)</v>
      </c>
      <c r="B669" s="1">
        <v>798</v>
      </c>
      <c r="C669" s="1" t="str">
        <f t="shared" si="201"/>
        <v>0.5ml</v>
      </c>
      <c r="D669" s="1" t="str">
        <f t="shared" si="198"/>
        <v>支</v>
      </c>
      <c r="E669" s="1" t="str">
        <f t="shared" si="199"/>
        <v>生物制品</v>
      </c>
    </row>
    <row r="670" spans="1:5">
      <c r="A670" s="1" t="str">
        <f>"双价人乳头瘤病毒吸附疫苗"</f>
        <v>双价人乳头瘤病毒吸附疫苗</v>
      </c>
      <c r="B670" s="1">
        <v>580</v>
      </c>
      <c r="C670" s="1" t="str">
        <f>"支"</f>
        <v>支</v>
      </c>
      <c r="D670" s="1" t="str">
        <f t="shared" si="198"/>
        <v>支</v>
      </c>
      <c r="E670" s="1" t="str">
        <f t="shared" si="199"/>
        <v>生物制品</v>
      </c>
    </row>
    <row r="671" spans="1:5">
      <c r="A671" s="1" t="str">
        <f>"五价轮状疫苗"</f>
        <v>五价轮状疫苗</v>
      </c>
      <c r="B671" s="1">
        <v>280</v>
      </c>
      <c r="C671" s="1" t="str">
        <f>"2ml"</f>
        <v>2ml</v>
      </c>
      <c r="D671" s="1" t="str">
        <f t="shared" si="198"/>
        <v>支</v>
      </c>
      <c r="E671" s="1" t="str">
        <f t="shared" si="199"/>
        <v>生物制品</v>
      </c>
    </row>
    <row r="672" spans="1:5">
      <c r="A672" s="1" t="str">
        <f>"流脑A+C结合疫苗"</f>
        <v>流脑A+C结合疫苗</v>
      </c>
      <c r="B672" s="1">
        <v>156</v>
      </c>
      <c r="C672" s="1" t="str">
        <f t="shared" ref="C672:C675" si="202">"0.5ml"</f>
        <v>0.5ml</v>
      </c>
      <c r="D672" s="1" t="str">
        <f t="shared" si="198"/>
        <v>支</v>
      </c>
      <c r="E672" s="1" t="str">
        <f t="shared" si="199"/>
        <v>生物制品</v>
      </c>
    </row>
    <row r="673" spans="1:5">
      <c r="A673" s="1" t="str">
        <f>"四价人乳头瘤病毒疫苗（佳达修）"</f>
        <v>四价人乳头瘤病毒疫苗（佳达修）</v>
      </c>
      <c r="B673" s="1">
        <v>798</v>
      </c>
      <c r="C673" s="1" t="str">
        <f t="shared" si="202"/>
        <v>0.5ml</v>
      </c>
      <c r="D673" s="1" t="str">
        <f t="shared" si="198"/>
        <v>支</v>
      </c>
      <c r="E673" s="1" t="str">
        <f t="shared" si="199"/>
        <v>生物制品</v>
      </c>
    </row>
    <row r="674" spans="1:5">
      <c r="A674" s="1" t="str">
        <f>"流脑A+C结合疫苗（二剂）(无锡罗益)"</f>
        <v>流脑A+C结合疫苗（二剂）(无锡罗益)</v>
      </c>
      <c r="B674" s="1">
        <v>118</v>
      </c>
      <c r="C674" s="1" t="str">
        <f t="shared" si="202"/>
        <v>0.5ml</v>
      </c>
      <c r="D674" s="1" t="str">
        <f t="shared" si="198"/>
        <v>支</v>
      </c>
      <c r="E674" s="1" t="str">
        <f t="shared" si="199"/>
        <v>生物制品</v>
      </c>
    </row>
    <row r="675" spans="1:5">
      <c r="A675" s="1" t="str">
        <f>"四价流感疫苗"</f>
        <v>四价流感疫苗</v>
      </c>
      <c r="B675" s="1">
        <v>128</v>
      </c>
      <c r="C675" s="1" t="str">
        <f t="shared" si="202"/>
        <v>0.5ml</v>
      </c>
      <c r="D675" s="1" t="str">
        <f t="shared" si="198"/>
        <v>支</v>
      </c>
      <c r="E675" s="1" t="str">
        <f t="shared" si="199"/>
        <v>生物制品</v>
      </c>
    </row>
    <row r="676" spans="1:5">
      <c r="A676" s="1" t="str">
        <f>"成人乙肝cho"</f>
        <v>成人乙肝cho</v>
      </c>
      <c r="B676" s="1">
        <v>90</v>
      </c>
      <c r="C676" s="1" t="str">
        <f>"1ml"</f>
        <v>1ml</v>
      </c>
      <c r="D676" s="1" t="str">
        <f t="shared" si="198"/>
        <v>支</v>
      </c>
      <c r="E676" s="1" t="str">
        <f t="shared" si="199"/>
        <v>生物制品</v>
      </c>
    </row>
    <row r="677" spans="1:5">
      <c r="A677" s="1" t="str">
        <f>"灭活脊灰疫苗"</f>
        <v>灭活脊灰疫苗</v>
      </c>
      <c r="B677" s="1">
        <v>178</v>
      </c>
      <c r="C677" s="1" t="str">
        <f t="shared" ref="C677:C680" si="203">"0.5ml"</f>
        <v>0.5ml</v>
      </c>
      <c r="D677" s="1" t="str">
        <f t="shared" si="198"/>
        <v>支</v>
      </c>
      <c r="E677" s="1" t="str">
        <f t="shared" si="199"/>
        <v>生物制品</v>
      </c>
    </row>
    <row r="678" spans="1:5">
      <c r="A678" s="1" t="str">
        <f>"九价人乳头瘤病毒疫苗"</f>
        <v>九价人乳头瘤病毒疫苗</v>
      </c>
      <c r="B678" s="1">
        <v>1298</v>
      </c>
      <c r="C678" s="1" t="str">
        <f t="shared" si="203"/>
        <v>0.5ml</v>
      </c>
      <c r="D678" s="1" t="str">
        <f t="shared" si="198"/>
        <v>支</v>
      </c>
      <c r="E678" s="1" t="str">
        <f t="shared" si="199"/>
        <v>生物制品</v>
      </c>
    </row>
    <row r="679" spans="1:5">
      <c r="A679" s="1" t="str">
        <f>"B型流感嗜血杆菌"</f>
        <v>B型流感嗜血杆菌</v>
      </c>
      <c r="B679" s="1">
        <v>102</v>
      </c>
      <c r="C679" s="1" t="str">
        <f t="shared" ref="C679:C686" si="204">"支"</f>
        <v>支</v>
      </c>
      <c r="D679" s="1" t="str">
        <f t="shared" si="198"/>
        <v>支</v>
      </c>
      <c r="E679" s="1" t="str">
        <f t="shared" si="199"/>
        <v>生物制品</v>
      </c>
    </row>
    <row r="680" spans="1:5">
      <c r="A680" s="1" t="str">
        <f>"流脑A+C 结合疫苗"</f>
        <v>流脑A+C 结合疫苗</v>
      </c>
      <c r="B680" s="1">
        <v>120</v>
      </c>
      <c r="C680" s="1" t="str">
        <f t="shared" si="203"/>
        <v>0.5ml</v>
      </c>
      <c r="D680" s="1" t="str">
        <f t="shared" si="198"/>
        <v>支</v>
      </c>
      <c r="E680" s="1" t="str">
        <f t="shared" si="199"/>
        <v>生物制品</v>
      </c>
    </row>
    <row r="681" spans="1:5">
      <c r="A681" s="1" t="str">
        <f>"乙脑灭活疫苗(Vero)"</f>
        <v>乙脑灭活疫苗(Vero)</v>
      </c>
      <c r="B681" s="1">
        <v>216</v>
      </c>
      <c r="C681" s="1" t="str">
        <f t="shared" si="204"/>
        <v>支</v>
      </c>
      <c r="D681" s="1" t="str">
        <f t="shared" si="198"/>
        <v>支</v>
      </c>
      <c r="E681" s="1" t="str">
        <f t="shared" si="199"/>
        <v>生物制品</v>
      </c>
    </row>
    <row r="682" spans="1:5">
      <c r="A682" s="1" t="str">
        <f>"流感病毒裂解疫苗"</f>
        <v>流感病毒裂解疫苗</v>
      </c>
      <c r="B682" s="1">
        <v>27</v>
      </c>
      <c r="C682" s="1" t="str">
        <f t="shared" si="204"/>
        <v>支</v>
      </c>
      <c r="D682" s="1" t="str">
        <f t="shared" si="198"/>
        <v>支</v>
      </c>
      <c r="E682" s="1" t="str">
        <f t="shared" si="199"/>
        <v>生物制品</v>
      </c>
    </row>
    <row r="683" spans="1:5">
      <c r="A683" s="1" t="str">
        <f>"流脑A+C+Y+W135疫苗"</f>
        <v>流脑A+C+Y+W135疫苗</v>
      </c>
      <c r="B683" s="1">
        <v>136</v>
      </c>
      <c r="C683" s="1" t="str">
        <f t="shared" si="204"/>
        <v>支</v>
      </c>
      <c r="D683" s="1" t="str">
        <f t="shared" si="198"/>
        <v>支</v>
      </c>
      <c r="E683" s="1" t="str">
        <f t="shared" si="199"/>
        <v>生物制品</v>
      </c>
    </row>
    <row r="684" spans="1:5">
      <c r="A684" s="1" t="str">
        <f>"百白破Hib四联疫苗"</f>
        <v>百白破Hib四联疫苗</v>
      </c>
      <c r="B684" s="1">
        <v>368</v>
      </c>
      <c r="C684" s="1" t="str">
        <f t="shared" si="204"/>
        <v>支</v>
      </c>
      <c r="D684" s="1" t="str">
        <f t="shared" si="198"/>
        <v>支</v>
      </c>
      <c r="E684" s="1" t="str">
        <f t="shared" si="199"/>
        <v>生物制品</v>
      </c>
    </row>
    <row r="685" spans="1:5">
      <c r="A685" s="1" t="str">
        <f>"麻风腮"</f>
        <v>麻风腮</v>
      </c>
      <c r="B685" s="1">
        <v>53</v>
      </c>
      <c r="C685" s="1" t="str">
        <f t="shared" si="204"/>
        <v>支</v>
      </c>
      <c r="D685" s="1" t="str">
        <f t="shared" si="198"/>
        <v>支</v>
      </c>
      <c r="E685" s="1" t="str">
        <f t="shared" si="199"/>
        <v>生物制品</v>
      </c>
    </row>
    <row r="686" spans="1:5">
      <c r="A686" s="1" t="str">
        <f>"纽莫法"</f>
        <v>纽莫法</v>
      </c>
      <c r="B686" s="1">
        <v>248</v>
      </c>
      <c r="C686" s="1" t="str">
        <f t="shared" si="204"/>
        <v>支</v>
      </c>
      <c r="D686" s="1" t="str">
        <f t="shared" si="198"/>
        <v>支</v>
      </c>
      <c r="E686" s="1" t="str">
        <f t="shared" si="199"/>
        <v>生物制品</v>
      </c>
    </row>
    <row r="687" spans="1:5">
      <c r="A687" s="1" t="str">
        <f>"安在时(儿童)"</f>
        <v>安在时(儿童)</v>
      </c>
      <c r="B687" s="1">
        <v>118</v>
      </c>
      <c r="C687" s="1" t="str">
        <f>"10ug"</f>
        <v>10ug</v>
      </c>
      <c r="D687" s="1" t="str">
        <f t="shared" si="198"/>
        <v>支</v>
      </c>
      <c r="E687" s="1" t="str">
        <f t="shared" si="199"/>
        <v>生物制品</v>
      </c>
    </row>
    <row r="688" spans="1:5">
      <c r="A688" s="1" t="str">
        <f>"安在时(成人)"</f>
        <v>安在时(成人)</v>
      </c>
      <c r="B688" s="1">
        <v>138</v>
      </c>
      <c r="C688" s="1" t="str">
        <f>"20ug"</f>
        <v>20ug</v>
      </c>
      <c r="D688" s="1" t="str">
        <f t="shared" si="198"/>
        <v>支</v>
      </c>
      <c r="E688" s="1" t="str">
        <f t="shared" si="199"/>
        <v>生物制品</v>
      </c>
    </row>
    <row r="689" spans="1:5">
      <c r="A689" s="1" t="str">
        <f>"凡尔灵(成人)"</f>
        <v>凡尔灵(成人)</v>
      </c>
      <c r="B689" s="1">
        <v>65</v>
      </c>
      <c r="C689" s="1" t="str">
        <f t="shared" ref="C689:C692" si="205">"0"</f>
        <v>0</v>
      </c>
      <c r="D689" s="1" t="str">
        <f t="shared" si="198"/>
        <v>支</v>
      </c>
      <c r="E689" s="1" t="str">
        <f t="shared" si="199"/>
        <v>生物制品</v>
      </c>
    </row>
    <row r="690" spans="1:5">
      <c r="A690" s="1" t="str">
        <f>"EV71(西林瓶)"</f>
        <v>EV71(西林瓶)</v>
      </c>
      <c r="B690" s="1">
        <v>168</v>
      </c>
      <c r="C690" s="1" t="str">
        <f t="shared" si="205"/>
        <v>0</v>
      </c>
      <c r="D690" s="1" t="str">
        <f t="shared" si="198"/>
        <v>支</v>
      </c>
      <c r="E690" s="1" t="str">
        <f t="shared" si="199"/>
        <v>生物制品</v>
      </c>
    </row>
    <row r="691" spans="1:5">
      <c r="A691" s="1" t="str">
        <f>"美联吉泰"</f>
        <v>美联吉泰</v>
      </c>
      <c r="B691" s="1">
        <v>298</v>
      </c>
      <c r="C691" s="1" t="str">
        <f t="shared" si="205"/>
        <v>0</v>
      </c>
      <c r="D691" s="1" t="str">
        <f t="shared" si="198"/>
        <v>支</v>
      </c>
      <c r="E691" s="1" t="str">
        <f t="shared" si="199"/>
        <v>生物制品</v>
      </c>
    </row>
    <row r="692" spans="1:5">
      <c r="A692" s="1" t="str">
        <f>"凡尔灵(儿童)"</f>
        <v>凡尔灵(儿童)</v>
      </c>
      <c r="B692" s="1">
        <v>29</v>
      </c>
      <c r="C692" s="1" t="str">
        <f t="shared" si="205"/>
        <v>0</v>
      </c>
      <c r="D692" s="1" t="str">
        <f t="shared" si="198"/>
        <v>支</v>
      </c>
      <c r="E692" s="1" t="str">
        <f t="shared" si="199"/>
        <v>生物制品</v>
      </c>
    </row>
    <row r="693" spans="1:5">
      <c r="A693" s="1" t="str">
        <f>"乙肝汉逊酵母（预填充）"</f>
        <v>乙肝汉逊酵母（预填充）</v>
      </c>
      <c r="B693" s="1">
        <v>71</v>
      </c>
      <c r="C693" s="1" t="str">
        <f>"10ug"</f>
        <v>10ug</v>
      </c>
      <c r="D693" s="1" t="str">
        <f t="shared" si="198"/>
        <v>支</v>
      </c>
      <c r="E693" s="1" t="str">
        <f t="shared" si="199"/>
        <v>生物制品</v>
      </c>
    </row>
    <row r="694" spans="1:5">
      <c r="A694" s="1" t="str">
        <f>"ACYW135流脑"</f>
        <v>ACYW135流脑</v>
      </c>
      <c r="B694" s="1">
        <v>65</v>
      </c>
      <c r="C694" s="1" t="str">
        <f>"支"</f>
        <v>支</v>
      </c>
      <c r="D694" s="1" t="str">
        <f t="shared" si="198"/>
        <v>支</v>
      </c>
      <c r="E694" s="1" t="str">
        <f t="shared" si="199"/>
        <v>生物制品</v>
      </c>
    </row>
    <row r="695" spans="1:5">
      <c r="A695" s="1" t="str">
        <f>"重组带状疱疹疫苗(CHO)"</f>
        <v>重组带状疱疹疫苗(CHO)</v>
      </c>
      <c r="B695" s="1">
        <v>1598</v>
      </c>
      <c r="C695" s="1" t="str">
        <f t="shared" ref="C695:C702" si="206">"0.5ml"</f>
        <v>0.5ml</v>
      </c>
      <c r="D695" s="1" t="str">
        <f t="shared" si="198"/>
        <v>支</v>
      </c>
      <c r="E695" s="1" t="str">
        <f t="shared" si="199"/>
        <v>生物制品</v>
      </c>
    </row>
    <row r="696" spans="1:5">
      <c r="A696" s="1" t="str">
        <f>"流感病毒裂解疫苗"</f>
        <v>流感病毒裂解疫苗</v>
      </c>
      <c r="B696" s="1">
        <v>65</v>
      </c>
      <c r="C696" s="1" t="str">
        <f t="shared" si="206"/>
        <v>0.5ml</v>
      </c>
      <c r="D696" s="1" t="str">
        <f t="shared" si="198"/>
        <v>支</v>
      </c>
      <c r="E696" s="1" t="str">
        <f t="shared" si="199"/>
        <v>生物制品</v>
      </c>
    </row>
    <row r="697" spans="1:5">
      <c r="A697" s="1" t="str">
        <f>"肠道病毒71型灭活疫苗（武生）"</f>
        <v>肠道病毒71型灭活疫苗（武生）</v>
      </c>
      <c r="B697" s="1">
        <v>188</v>
      </c>
      <c r="C697" s="1" t="str">
        <f t="shared" si="206"/>
        <v>0.5ml</v>
      </c>
      <c r="D697" s="1" t="str">
        <f t="shared" si="198"/>
        <v>支</v>
      </c>
      <c r="E697" s="1" t="str">
        <f t="shared" si="199"/>
        <v>生物制品</v>
      </c>
    </row>
    <row r="698" spans="1:5">
      <c r="A698" s="1" t="str">
        <f>"Sabin株脊髓灰质炎灭活疫苗"</f>
        <v>Sabin株脊髓灰质炎灭活疫苗</v>
      </c>
      <c r="B698" s="1">
        <v>168</v>
      </c>
      <c r="C698" s="1" t="str">
        <f t="shared" si="206"/>
        <v>0.5ml</v>
      </c>
      <c r="D698" s="1" t="str">
        <f>"瓶"</f>
        <v>瓶</v>
      </c>
      <c r="E698" s="1" t="str">
        <f t="shared" si="199"/>
        <v>生物制品</v>
      </c>
    </row>
    <row r="699" spans="1:5">
      <c r="A699" s="1" t="str">
        <f>"双价人乳头瘤病毒疫苗（大肠杆菌）"</f>
        <v>双价人乳头瘤病毒疫苗（大肠杆菌）</v>
      </c>
      <c r="B699" s="1">
        <v>329</v>
      </c>
      <c r="C699" s="1" t="str">
        <f t="shared" si="206"/>
        <v>0.5ml</v>
      </c>
      <c r="D699" s="1" t="str">
        <f t="shared" ref="D699:D709" si="207">"支"</f>
        <v>支</v>
      </c>
      <c r="E699" s="1" t="str">
        <f t="shared" si="199"/>
        <v>生物制品</v>
      </c>
    </row>
    <row r="700" spans="1:5">
      <c r="A700" s="1" t="str">
        <f>"13价肺炎疫苗（沃森）"</f>
        <v>13价肺炎疫苗（沃森）</v>
      </c>
      <c r="B700" s="1">
        <v>598</v>
      </c>
      <c r="C700" s="1" t="str">
        <f t="shared" si="206"/>
        <v>0.5ml</v>
      </c>
      <c r="D700" s="1" t="str">
        <f t="shared" si="207"/>
        <v>支</v>
      </c>
      <c r="E700" s="1" t="str">
        <f t="shared" si="199"/>
        <v>生物制品</v>
      </c>
    </row>
    <row r="701" spans="1:5">
      <c r="A701" s="1" t="str">
        <f>"双价人乳头瘤病毒吸附疫苗（希瑞适 优惠）"</f>
        <v>双价人乳头瘤病毒吸附疫苗（希瑞适 优惠）</v>
      </c>
      <c r="B701" s="1">
        <v>494</v>
      </c>
      <c r="C701" s="1" t="str">
        <f t="shared" si="206"/>
        <v>0.5ml</v>
      </c>
      <c r="D701" s="1" t="str">
        <f t="shared" si="207"/>
        <v>支</v>
      </c>
      <c r="E701" s="1" t="str">
        <f t="shared" si="199"/>
        <v>生物制品</v>
      </c>
    </row>
    <row r="702" spans="1:5">
      <c r="A702" s="1" t="str">
        <f>"四价人乳头瘤病毒疫苗（佳达修 优惠）"</f>
        <v>四价人乳头瘤病毒疫苗（佳达修 优惠）</v>
      </c>
      <c r="B702" s="1">
        <v>712</v>
      </c>
      <c r="C702" s="1" t="str">
        <f t="shared" si="206"/>
        <v>0.5ml</v>
      </c>
      <c r="D702" s="1" t="str">
        <f t="shared" si="207"/>
        <v>支</v>
      </c>
      <c r="E702" s="1" t="str">
        <f t="shared" si="199"/>
        <v>生物制品</v>
      </c>
    </row>
    <row r="703" spans="1:5">
      <c r="A703" s="1" t="str">
        <f>"冻干鼻喷流感减毒活疫苗（长春百克）"</f>
        <v>冻干鼻喷流感减毒活疫苗（长春百克）</v>
      </c>
      <c r="B703" s="1">
        <v>298</v>
      </c>
      <c r="C703" s="1" t="str">
        <f>"0.2ml"</f>
        <v>0.2ml</v>
      </c>
      <c r="D703" s="1" t="str">
        <f t="shared" si="207"/>
        <v>支</v>
      </c>
      <c r="E703" s="1" t="str">
        <f t="shared" si="199"/>
        <v>生物制品</v>
      </c>
    </row>
    <row r="704" spans="1:5">
      <c r="A704" s="1" t="str">
        <f>"甲型肝炎灭活疫苗（人二倍体细胞）"</f>
        <v>甲型肝炎灭活疫苗（人二倍体细胞）</v>
      </c>
      <c r="B704" s="1">
        <v>199</v>
      </c>
      <c r="C704" s="1" t="str">
        <f t="shared" ref="C704:C708" si="208">"0.5ml"</f>
        <v>0.5ml</v>
      </c>
      <c r="D704" s="1" t="str">
        <f t="shared" si="207"/>
        <v>支</v>
      </c>
      <c r="E704" s="1" t="str">
        <f t="shared" si="199"/>
        <v>生物制品</v>
      </c>
    </row>
    <row r="705" spans="1:5">
      <c r="A705" s="1" t="str">
        <f>"九价人乳头瘤病毒疫苗（优惠）"</f>
        <v>九价人乳头瘤病毒疫苗（优惠）</v>
      </c>
      <c r="B705" s="1">
        <v>1212</v>
      </c>
      <c r="C705" s="1" t="str">
        <f t="shared" si="208"/>
        <v>0.5ml</v>
      </c>
      <c r="D705" s="1" t="str">
        <f t="shared" si="207"/>
        <v>支</v>
      </c>
      <c r="E705" s="1" t="str">
        <f t="shared" si="199"/>
        <v>生物制品</v>
      </c>
    </row>
    <row r="706" spans="1:5">
      <c r="A706" s="1" t="str">
        <f>"ACYW135群脑膜炎球菌多糖结合疫苗"</f>
        <v>ACYW135群脑膜炎球菌多糖结合疫苗</v>
      </c>
      <c r="B706" s="1">
        <v>420</v>
      </c>
      <c r="C706" s="1" t="str">
        <f t="shared" si="208"/>
        <v>0.5ml</v>
      </c>
      <c r="D706" s="1" t="str">
        <f t="shared" si="207"/>
        <v>支</v>
      </c>
      <c r="E706" s="1" t="str">
        <f t="shared" si="199"/>
        <v>生物制品</v>
      </c>
    </row>
    <row r="707" spans="1:5">
      <c r="A707" s="1" t="str">
        <f>"带状疱疹减毒活疫苗"</f>
        <v>带状疱疹减毒活疫苗</v>
      </c>
      <c r="B707" s="1">
        <v>1369</v>
      </c>
      <c r="C707" s="1" t="str">
        <f t="shared" si="208"/>
        <v>0.5ml</v>
      </c>
      <c r="D707" s="1" t="str">
        <f t="shared" si="207"/>
        <v>支</v>
      </c>
      <c r="E707" s="1" t="str">
        <f t="shared" si="199"/>
        <v>生物制品</v>
      </c>
    </row>
    <row r="708" spans="1:5">
      <c r="A708" s="1" t="str">
        <f>"四价流感病毒亚单位疫苗"</f>
        <v>四价流感病毒亚单位疫苗</v>
      </c>
      <c r="B708" s="1">
        <v>319</v>
      </c>
      <c r="C708" s="1" t="str">
        <f t="shared" si="208"/>
        <v>0.5ml</v>
      </c>
      <c r="D708" s="1" t="str">
        <f t="shared" si="207"/>
        <v>支</v>
      </c>
      <c r="E708" s="1" t="str">
        <f t="shared" si="199"/>
        <v>生物制品</v>
      </c>
    </row>
    <row r="709" spans="1:5">
      <c r="A709" s="1" t="str">
        <f>"四价流感病毒裂解疫苗"</f>
        <v>四价流感病毒裂解疫苗</v>
      </c>
      <c r="B709" s="1">
        <v>128</v>
      </c>
      <c r="C709" s="1" t="str">
        <f>"0.5 ml"</f>
        <v>0.5 ml</v>
      </c>
      <c r="D709" s="1" t="str">
        <f t="shared" si="207"/>
        <v>支</v>
      </c>
      <c r="E709" s="1" t="str">
        <f t="shared" si="199"/>
        <v>生物制品</v>
      </c>
    </row>
    <row r="710" spans="1:5">
      <c r="A710" s="1" t="str">
        <f>"预防接种服务费"</f>
        <v>预防接种服务费</v>
      </c>
      <c r="B710" s="1">
        <v>20</v>
      </c>
      <c r="C710" s="1">
        <v>1</v>
      </c>
      <c r="D710" s="1" t="str">
        <f>"次"</f>
        <v>次</v>
      </c>
      <c r="E710" s="1" t="str">
        <f>"预防接种费"</f>
        <v>预防接种费</v>
      </c>
    </row>
    <row r="711" spans="1:5">
      <c r="A711" s="1" t="str">
        <f>"体检费100"</f>
        <v>体检费100</v>
      </c>
      <c r="B711" s="1">
        <v>100</v>
      </c>
      <c r="C711" s="1" t="str">
        <f>"次"</f>
        <v>次</v>
      </c>
      <c r="D711" s="1" t="str">
        <f>"次"</f>
        <v>次</v>
      </c>
      <c r="E711" s="1" t="str">
        <f>"体检费"</f>
        <v>体检费</v>
      </c>
    </row>
    <row r="712" spans="1:5">
      <c r="A712" s="1" t="str">
        <f>"体检A套(男)"</f>
        <v>体检A套(男)</v>
      </c>
      <c r="B712" s="1">
        <v>130</v>
      </c>
      <c r="C712" s="1" t="str">
        <f>"次"</f>
        <v>次</v>
      </c>
      <c r="D712" s="1" t="str">
        <f>"次"</f>
        <v>次</v>
      </c>
      <c r="E712" s="1" t="str">
        <f>"体检费"</f>
        <v>体检费</v>
      </c>
    </row>
    <row r="713" spans="1:5">
      <c r="A713" s="1" t="str">
        <f>"体检A套(女)"</f>
        <v>体检A套(女)</v>
      </c>
      <c r="B713" s="1">
        <v>130</v>
      </c>
      <c r="C713" s="1" t="str">
        <f>"次"</f>
        <v>次</v>
      </c>
      <c r="D713" s="1" t="str">
        <f>"次"</f>
        <v>次</v>
      </c>
      <c r="E713" s="1" t="str">
        <f>"体检费"</f>
        <v>体检费</v>
      </c>
    </row>
    <row r="714" spans="1:5">
      <c r="A714" s="1" t="str">
        <f>"省级离休干部签约费"</f>
        <v>省级离休干部签约费</v>
      </c>
      <c r="B714" s="1">
        <v>100</v>
      </c>
      <c r="C714" s="1" t="str">
        <f>"项"</f>
        <v>项</v>
      </c>
      <c r="D714" s="1" t="str">
        <f>"项"</f>
        <v>项</v>
      </c>
      <c r="E714" s="1" t="str">
        <f>"签约服务费"</f>
        <v>签约服务费</v>
      </c>
    </row>
    <row r="715" spans="1:5">
      <c r="A715" s="1" t="str">
        <f>"常规心电图检查十二通道(签约)"</f>
        <v>常规心电图检查十二通道(签约)</v>
      </c>
      <c r="B715" s="1">
        <v>5</v>
      </c>
      <c r="C715" s="1" t="str">
        <f>"项"</f>
        <v>项</v>
      </c>
      <c r="D715" s="1" t="str">
        <f>"项"</f>
        <v>项</v>
      </c>
      <c r="E715" s="1" t="str">
        <f>"检查费"</f>
        <v>检查费</v>
      </c>
    </row>
    <row r="716" spans="1:5">
      <c r="A716" s="1" t="str">
        <f>"体检（签约）个性包"</f>
        <v>体检（签约）个性包</v>
      </c>
      <c r="B716" s="1">
        <v>71</v>
      </c>
      <c r="C716" s="1" t="str">
        <f>"次"</f>
        <v>次</v>
      </c>
      <c r="D716" s="1" t="str">
        <f>"次"</f>
        <v>次</v>
      </c>
      <c r="E716" s="1" t="str">
        <f>"服务收入"</f>
        <v>服务收入</v>
      </c>
    </row>
    <row r="717" spans="1:5">
      <c r="A717" s="1" t="str">
        <f>"筛查接种费"</f>
        <v>筛查接种费</v>
      </c>
      <c r="B717" s="1">
        <v>15</v>
      </c>
      <c r="C717" s="1" t="str">
        <f t="shared" ref="C717:C720" si="209">"项"</f>
        <v>项</v>
      </c>
      <c r="D717" s="1" t="str">
        <f t="shared" ref="D717:D720" si="210">"项"</f>
        <v>项</v>
      </c>
      <c r="E717" s="1" t="str">
        <f>"检验费"</f>
        <v>检验费</v>
      </c>
    </row>
    <row r="718" spans="1:5">
      <c r="A718" s="1" t="str">
        <f>"体检（个性签约）"</f>
        <v>体检（个性签约）</v>
      </c>
      <c r="B718" s="1">
        <v>50</v>
      </c>
      <c r="C718" s="1" t="str">
        <f t="shared" si="209"/>
        <v>项</v>
      </c>
      <c r="D718" s="1" t="str">
        <f t="shared" si="210"/>
        <v>项</v>
      </c>
      <c r="E718" s="1" t="str">
        <f>"体检费"</f>
        <v>体检费</v>
      </c>
    </row>
    <row r="719" spans="1:5">
      <c r="A719" s="1" t="str">
        <f>"彩色多普勒超声常规检查（个性签约）"</f>
        <v>彩色多普勒超声常规检查（个性签约）</v>
      </c>
      <c r="B719" s="1">
        <v>20</v>
      </c>
      <c r="C719" s="1" t="str">
        <f t="shared" si="209"/>
        <v>项</v>
      </c>
      <c r="D719" s="1" t="str">
        <f t="shared" si="210"/>
        <v>项</v>
      </c>
      <c r="E719" s="1" t="str">
        <f>"彩超费"</f>
        <v>彩超费</v>
      </c>
    </row>
    <row r="720" spans="1:5">
      <c r="A720" s="1" t="str">
        <f>"数字化摄影（个性签约）"</f>
        <v>数字化摄影（个性签约）</v>
      </c>
      <c r="B720" s="1">
        <v>45</v>
      </c>
      <c r="C720" s="1" t="str">
        <f t="shared" si="209"/>
        <v>项</v>
      </c>
      <c r="D720" s="1" t="str">
        <f t="shared" si="210"/>
        <v>项</v>
      </c>
      <c r="E720" s="1" t="str">
        <f>"放射费"</f>
        <v>放射费</v>
      </c>
    </row>
  </sheetData>
  <autoFilter xmlns:etc="http://www.wps.cn/officeDocument/2017/etCustomData" ref="E1:E72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2024-12-02T08:23:00Z</dcterms:created>
  <dcterms:modified xsi:type="dcterms:W3CDTF">2024-12-02T08:27:44Z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BADF56F9AEF240EC8B11C2EF4883B379_13</vt:lpwstr>
  </property>
  <property fmtid="{D5CDD505-2E9C-101B-9397-08002B2CF9AE}" pid="3" name="KSOProductBuildVer">
    <vt:lpwstr>2052-12.1.0.18912</vt:lpwstr>
  </property>
</Properties>
</file>