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ustomStorage/customStorage.xml" ContentType="application/vnd.wps-officedocument.customStorage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45" windowHeight="10485"/>
  </bookViews>
  <sheets>
    <sheet name="小市收费项目" sheetId="1" r:id="rId1"/>
  </sheets>
  <definedNames>
    <definedName name="_xlnm._FilterDatabase" localSheetId="0" hidden="1">小市收费项目!$E$1:$E$939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43" i="1"/>
  <c r="A542"/>
  <c r="A482"/>
  <c r="E939"/>
  <c r="D939"/>
  <c r="C939"/>
  <c r="A939"/>
  <c r="E938"/>
  <c r="D938"/>
  <c r="C938"/>
  <c r="A938"/>
  <c r="E937"/>
  <c r="D937"/>
  <c r="C937"/>
  <c r="A937"/>
  <c r="E936"/>
  <c r="D936"/>
  <c r="C936"/>
  <c r="A936"/>
  <c r="E935"/>
  <c r="D935"/>
  <c r="C935"/>
  <c r="A935"/>
  <c r="E934"/>
  <c r="D934"/>
  <c r="C934"/>
  <c r="A934"/>
  <c r="E933"/>
  <c r="D933"/>
  <c r="C933"/>
  <c r="A933"/>
  <c r="E932"/>
  <c r="D932"/>
  <c r="C932"/>
  <c r="A932"/>
  <c r="E931"/>
  <c r="D931"/>
  <c r="C931"/>
  <c r="A931"/>
  <c r="E930"/>
  <c r="D930"/>
  <c r="C930"/>
  <c r="A930"/>
  <c r="E929"/>
  <c r="D929"/>
  <c r="C929"/>
  <c r="A929"/>
  <c r="E928"/>
  <c r="D928"/>
  <c r="C928"/>
  <c r="A928"/>
  <c r="E927"/>
  <c r="D927"/>
  <c r="C927"/>
  <c r="B927"/>
  <c r="A927"/>
  <c r="E926"/>
  <c r="D926"/>
  <c r="C926"/>
  <c r="A926"/>
  <c r="E925"/>
  <c r="D925"/>
  <c r="C925"/>
  <c r="A925"/>
  <c r="E924"/>
  <c r="D924"/>
  <c r="C924"/>
  <c r="A924"/>
  <c r="E923"/>
  <c r="D923"/>
  <c r="A923"/>
  <c r="E922"/>
  <c r="D922"/>
  <c r="C922"/>
  <c r="A922"/>
  <c r="E921"/>
  <c r="D921"/>
  <c r="C921"/>
  <c r="A921"/>
  <c r="E920"/>
  <c r="D920"/>
  <c r="C920"/>
  <c r="A920"/>
  <c r="E919"/>
  <c r="D919"/>
  <c r="C919"/>
  <c r="A919"/>
  <c r="E918"/>
  <c r="D918"/>
  <c r="C918"/>
  <c r="A918"/>
  <c r="E917"/>
  <c r="D917"/>
  <c r="C917"/>
  <c r="A917"/>
  <c r="E916"/>
  <c r="D916"/>
  <c r="C916"/>
  <c r="A916"/>
  <c r="E915"/>
  <c r="D915"/>
  <c r="C915"/>
  <c r="A915"/>
  <c r="E914"/>
  <c r="D914"/>
  <c r="C914"/>
  <c r="B914"/>
  <c r="A914"/>
  <c r="E913"/>
  <c r="D913"/>
  <c r="C913"/>
  <c r="B913"/>
  <c r="A913"/>
  <c r="E912"/>
  <c r="D912"/>
  <c r="C912"/>
  <c r="A912"/>
  <c r="E911"/>
  <c r="D911"/>
  <c r="C911"/>
  <c r="B911"/>
  <c r="A911"/>
  <c r="E910"/>
  <c r="D910"/>
  <c r="C910"/>
  <c r="B910"/>
  <c r="A910"/>
  <c r="E909"/>
  <c r="D909"/>
  <c r="C909"/>
  <c r="B909"/>
  <c r="A909"/>
  <c r="E908"/>
  <c r="D908"/>
  <c r="C908"/>
  <c r="B908"/>
  <c r="A908"/>
  <c r="E907"/>
  <c r="D907"/>
  <c r="C907"/>
  <c r="B907"/>
  <c r="A907"/>
  <c r="E906"/>
  <c r="D906"/>
  <c r="C906"/>
  <c r="B906"/>
  <c r="A906"/>
  <c r="E905"/>
  <c r="D905"/>
  <c r="C905"/>
  <c r="B905"/>
  <c r="A905"/>
  <c r="E904"/>
  <c r="D904"/>
  <c r="C904"/>
  <c r="B904"/>
  <c r="A904"/>
  <c r="E903"/>
  <c r="D903"/>
  <c r="C903"/>
  <c r="B903"/>
  <c r="A903"/>
  <c r="E902"/>
  <c r="D902"/>
  <c r="C902"/>
  <c r="B902"/>
  <c r="A902"/>
  <c r="E901"/>
  <c r="D901"/>
  <c r="C901"/>
  <c r="A901"/>
  <c r="E900"/>
  <c r="D900"/>
  <c r="C900"/>
  <c r="B900"/>
  <c r="A900"/>
  <c r="E899"/>
  <c r="D899"/>
  <c r="A899"/>
  <c r="E898"/>
  <c r="D898"/>
  <c r="C898"/>
  <c r="A898"/>
  <c r="E897"/>
  <c r="D897"/>
  <c r="C897"/>
  <c r="A897"/>
  <c r="E896"/>
  <c r="D896"/>
  <c r="C896"/>
  <c r="B896"/>
  <c r="A896"/>
  <c r="E895"/>
  <c r="D895"/>
  <c r="C895"/>
  <c r="A895"/>
  <c r="E894"/>
  <c r="D894"/>
  <c r="C894"/>
  <c r="B894"/>
  <c r="A894"/>
  <c r="E893"/>
  <c r="D893"/>
  <c r="C893"/>
  <c r="B893"/>
  <c r="A893"/>
  <c r="E892"/>
  <c r="D892"/>
  <c r="C892"/>
  <c r="B892"/>
  <c r="A892"/>
  <c r="E891"/>
  <c r="D891"/>
  <c r="C891"/>
  <c r="B891"/>
  <c r="A891"/>
  <c r="E890"/>
  <c r="D890"/>
  <c r="C890"/>
  <c r="B890"/>
  <c r="A890"/>
  <c r="E889"/>
  <c r="D889"/>
  <c r="C889"/>
  <c r="B889"/>
  <c r="A889"/>
  <c r="E888"/>
  <c r="D888"/>
  <c r="C888"/>
  <c r="B888"/>
  <c r="A888"/>
  <c r="E887"/>
  <c r="D887"/>
  <c r="C887"/>
  <c r="B887"/>
  <c r="A887"/>
  <c r="E886"/>
  <c r="D886"/>
  <c r="C886"/>
  <c r="A886"/>
  <c r="E885"/>
  <c r="D885"/>
  <c r="C885"/>
  <c r="B885"/>
  <c r="A885"/>
  <c r="E884"/>
  <c r="D884"/>
  <c r="C884"/>
  <c r="B884"/>
  <c r="A884"/>
  <c r="E883"/>
  <c r="D883"/>
  <c r="C883"/>
  <c r="B883"/>
  <c r="A883"/>
  <c r="E882"/>
  <c r="D882"/>
  <c r="C882"/>
  <c r="B882"/>
  <c r="A882"/>
  <c r="E881"/>
  <c r="D881"/>
  <c r="C881"/>
  <c r="B881"/>
  <c r="A881"/>
  <c r="E880"/>
  <c r="D880"/>
  <c r="C880"/>
  <c r="B880"/>
  <c r="A880"/>
  <c r="E879"/>
  <c r="D879"/>
  <c r="C879"/>
  <c r="B879"/>
  <c r="A879"/>
  <c r="E878"/>
  <c r="D878"/>
  <c r="C878"/>
  <c r="B878"/>
  <c r="A878"/>
  <c r="E877"/>
  <c r="D877"/>
  <c r="C877"/>
  <c r="B877"/>
  <c r="A877"/>
  <c r="E876"/>
  <c r="D876"/>
  <c r="C876"/>
  <c r="B876"/>
  <c r="A876"/>
  <c r="E875"/>
  <c r="D875"/>
  <c r="C875"/>
  <c r="B875"/>
  <c r="A875"/>
  <c r="E874"/>
  <c r="D874"/>
  <c r="C874"/>
  <c r="B874"/>
  <c r="A874"/>
  <c r="E873"/>
  <c r="D873"/>
  <c r="C873"/>
  <c r="B873"/>
  <c r="A873"/>
  <c r="E872"/>
  <c r="D872"/>
  <c r="C872"/>
  <c r="A872"/>
  <c r="E871"/>
  <c r="D871"/>
  <c r="C871"/>
  <c r="A871"/>
  <c r="E870"/>
  <c r="D870"/>
  <c r="C870"/>
  <c r="A870"/>
  <c r="E869"/>
  <c r="D869"/>
  <c r="C869"/>
  <c r="A869"/>
  <c r="E868"/>
  <c r="D868"/>
  <c r="C868"/>
  <c r="A868"/>
  <c r="E867"/>
  <c r="D867"/>
  <c r="C867"/>
  <c r="A867"/>
  <c r="E866"/>
  <c r="D866"/>
  <c r="C866"/>
  <c r="A866"/>
  <c r="E865"/>
  <c r="D865"/>
  <c r="C865"/>
  <c r="A865"/>
  <c r="E864"/>
  <c r="D864"/>
  <c r="C864"/>
  <c r="A864"/>
  <c r="E863"/>
  <c r="D863"/>
  <c r="C863"/>
  <c r="A863"/>
  <c r="E862"/>
  <c r="D862"/>
  <c r="C862"/>
  <c r="A862"/>
  <c r="E861"/>
  <c r="D861"/>
  <c r="C861"/>
  <c r="A861"/>
  <c r="E860"/>
  <c r="D860"/>
  <c r="C860"/>
  <c r="A860"/>
  <c r="E859"/>
  <c r="D859"/>
  <c r="C859"/>
  <c r="A859"/>
  <c r="E858"/>
  <c r="D858"/>
  <c r="C858"/>
  <c r="A858"/>
  <c r="E857"/>
  <c r="D857"/>
  <c r="C857"/>
  <c r="A857"/>
  <c r="E856"/>
  <c r="D856"/>
  <c r="C856"/>
  <c r="A856"/>
  <c r="E855"/>
  <c r="D855"/>
  <c r="C855"/>
  <c r="A855"/>
  <c r="E854"/>
  <c r="D854"/>
  <c r="C854"/>
  <c r="A854"/>
  <c r="E853"/>
  <c r="D853"/>
  <c r="C853"/>
  <c r="A853"/>
  <c r="E852"/>
  <c r="D852"/>
  <c r="C852"/>
  <c r="A852"/>
  <c r="E851"/>
  <c r="D851"/>
  <c r="C851"/>
  <c r="A851"/>
  <c r="E850"/>
  <c r="D850"/>
  <c r="C850"/>
  <c r="A850"/>
  <c r="E849"/>
  <c r="D849"/>
  <c r="C849"/>
  <c r="A849"/>
  <c r="E848"/>
  <c r="D848"/>
  <c r="C848"/>
  <c r="A848"/>
  <c r="E847"/>
  <c r="D847"/>
  <c r="C847"/>
  <c r="A847"/>
  <c r="E846"/>
  <c r="D846"/>
  <c r="C846"/>
  <c r="A846"/>
  <c r="E845"/>
  <c r="D845"/>
  <c r="C845"/>
  <c r="A845"/>
  <c r="E844"/>
  <c r="D844"/>
  <c r="C844"/>
  <c r="A844"/>
  <c r="E843"/>
  <c r="D843"/>
  <c r="C843"/>
  <c r="A843"/>
  <c r="E842"/>
  <c r="D842"/>
  <c r="C842"/>
  <c r="A842"/>
  <c r="E841"/>
  <c r="D841"/>
  <c r="C841"/>
  <c r="A841"/>
  <c r="E840"/>
  <c r="D840"/>
  <c r="C840"/>
  <c r="A840"/>
  <c r="E839"/>
  <c r="D839"/>
  <c r="C839"/>
  <c r="A839"/>
  <c r="E838"/>
  <c r="D838"/>
  <c r="C838"/>
  <c r="A838"/>
  <c r="E837"/>
  <c r="D837"/>
  <c r="C837"/>
  <c r="A837"/>
  <c r="E836"/>
  <c r="D836"/>
  <c r="C836"/>
  <c r="A836"/>
  <c r="E835"/>
  <c r="D835"/>
  <c r="C835"/>
  <c r="A835"/>
  <c r="E834"/>
  <c r="D834"/>
  <c r="C834"/>
  <c r="A834"/>
  <c r="E833"/>
  <c r="D833"/>
  <c r="C833"/>
  <c r="A833"/>
  <c r="E832"/>
  <c r="D832"/>
  <c r="C832"/>
  <c r="A832"/>
  <c r="E831"/>
  <c r="D831"/>
  <c r="C831"/>
  <c r="A831"/>
  <c r="E830"/>
  <c r="D830"/>
  <c r="C830"/>
  <c r="A830"/>
  <c r="E829"/>
  <c r="D829"/>
  <c r="C829"/>
  <c r="A829"/>
  <c r="E828"/>
  <c r="D828"/>
  <c r="C828"/>
  <c r="A828"/>
  <c r="E827"/>
  <c r="D827"/>
  <c r="C827"/>
  <c r="A827"/>
  <c r="E826"/>
  <c r="D826"/>
  <c r="C826"/>
  <c r="A826"/>
  <c r="E825"/>
  <c r="D825"/>
  <c r="C825"/>
  <c r="A825"/>
  <c r="E824"/>
  <c r="D824"/>
  <c r="C824"/>
  <c r="A824"/>
  <c r="E823"/>
  <c r="D823"/>
  <c r="C823"/>
  <c r="A823"/>
  <c r="E822"/>
  <c r="D822"/>
  <c r="C822"/>
  <c r="A822"/>
  <c r="E821"/>
  <c r="D821"/>
  <c r="C821"/>
  <c r="A821"/>
  <c r="E820"/>
  <c r="D820"/>
  <c r="C820"/>
  <c r="A820"/>
  <c r="E819"/>
  <c r="D819"/>
  <c r="C819"/>
  <c r="A819"/>
  <c r="E818"/>
  <c r="D818"/>
  <c r="C818"/>
  <c r="A818"/>
  <c r="E817"/>
  <c r="D817"/>
  <c r="C817"/>
  <c r="A817"/>
  <c r="E816"/>
  <c r="D816"/>
  <c r="C816"/>
  <c r="A816"/>
  <c r="E815"/>
  <c r="D815"/>
  <c r="C815"/>
  <c r="A815"/>
  <c r="E814"/>
  <c r="D814"/>
  <c r="C814"/>
  <c r="A814"/>
  <c r="E813"/>
  <c r="D813"/>
  <c r="C813"/>
  <c r="A813"/>
  <c r="E812"/>
  <c r="D812"/>
  <c r="A812"/>
  <c r="E811"/>
  <c r="D811"/>
  <c r="C811"/>
  <c r="A811"/>
  <c r="E810"/>
  <c r="D810"/>
  <c r="C810"/>
  <c r="A810"/>
  <c r="E809"/>
  <c r="D809"/>
  <c r="C809"/>
  <c r="A809"/>
  <c r="E808"/>
  <c r="D808"/>
  <c r="C808"/>
  <c r="A808"/>
  <c r="E807"/>
  <c r="D807"/>
  <c r="C807"/>
  <c r="A807"/>
  <c r="E806"/>
  <c r="D806"/>
  <c r="C806"/>
  <c r="A806"/>
  <c r="E805"/>
  <c r="D805"/>
  <c r="C805"/>
  <c r="A805"/>
  <c r="E804"/>
  <c r="D804"/>
  <c r="C804"/>
  <c r="A804"/>
  <c r="E803"/>
  <c r="D803"/>
  <c r="C803"/>
  <c r="A803"/>
  <c r="E802"/>
  <c r="D802"/>
  <c r="C802"/>
  <c r="A802"/>
  <c r="E801"/>
  <c r="D801"/>
  <c r="C801"/>
  <c r="A801"/>
  <c r="E800"/>
  <c r="D800"/>
  <c r="C800"/>
  <c r="A800"/>
  <c r="E799"/>
  <c r="D799"/>
  <c r="C799"/>
  <c r="A799"/>
  <c r="E798"/>
  <c r="D798"/>
  <c r="C798"/>
  <c r="A798"/>
  <c r="E797"/>
  <c r="D797"/>
  <c r="C797"/>
  <c r="A797"/>
  <c r="E796"/>
  <c r="D796"/>
  <c r="C796"/>
  <c r="A796"/>
  <c r="E795"/>
  <c r="D795"/>
  <c r="C795"/>
  <c r="A795"/>
  <c r="E794"/>
  <c r="D794"/>
  <c r="C794"/>
  <c r="A794"/>
  <c r="E793"/>
  <c r="D793"/>
  <c r="C793"/>
  <c r="A793"/>
  <c r="E792"/>
  <c r="D792"/>
  <c r="C792"/>
  <c r="A792"/>
  <c r="E791"/>
  <c r="D791"/>
  <c r="C791"/>
  <c r="A791"/>
  <c r="E790"/>
  <c r="D790"/>
  <c r="C790"/>
  <c r="A790"/>
  <c r="E789"/>
  <c r="D789"/>
  <c r="C789"/>
  <c r="A789"/>
  <c r="E788"/>
  <c r="D788"/>
  <c r="C788"/>
  <c r="A788"/>
  <c r="E787"/>
  <c r="D787"/>
  <c r="C787"/>
  <c r="A787"/>
  <c r="E786"/>
  <c r="D786"/>
  <c r="C786"/>
  <c r="A786"/>
  <c r="E785"/>
  <c r="D785"/>
  <c r="C785"/>
  <c r="A785"/>
  <c r="E784"/>
  <c r="D784"/>
  <c r="C784"/>
  <c r="A784"/>
  <c r="E783"/>
  <c r="D783"/>
  <c r="C783"/>
  <c r="A783"/>
  <c r="E782"/>
  <c r="D782"/>
  <c r="C782"/>
  <c r="A782"/>
  <c r="E781"/>
  <c r="D781"/>
  <c r="C781"/>
  <c r="A781"/>
  <c r="E780"/>
  <c r="D780"/>
  <c r="C780"/>
  <c r="A780"/>
  <c r="E779"/>
  <c r="D779"/>
  <c r="C779"/>
  <c r="A779"/>
  <c r="E778"/>
  <c r="D778"/>
  <c r="C778"/>
  <c r="A778"/>
  <c r="E777"/>
  <c r="D777"/>
  <c r="C777"/>
  <c r="A777"/>
  <c r="E776"/>
  <c r="D776"/>
  <c r="C776"/>
  <c r="A776"/>
  <c r="E775"/>
  <c r="D775"/>
  <c r="C775"/>
  <c r="A775"/>
  <c r="E774"/>
  <c r="D774"/>
  <c r="C774"/>
  <c r="A774"/>
  <c r="E773"/>
  <c r="D773"/>
  <c r="C773"/>
  <c r="A773"/>
  <c r="E772"/>
  <c r="D772"/>
  <c r="C772"/>
  <c r="A772"/>
  <c r="E771"/>
  <c r="D771"/>
  <c r="C771"/>
  <c r="A771"/>
  <c r="E770"/>
  <c r="D770"/>
  <c r="C770"/>
  <c r="A770"/>
  <c r="E769"/>
  <c r="D769"/>
  <c r="C769"/>
  <c r="A769"/>
  <c r="E768"/>
  <c r="D768"/>
  <c r="C768"/>
  <c r="A768"/>
  <c r="E767"/>
  <c r="D767"/>
  <c r="C767"/>
  <c r="A767"/>
  <c r="E766"/>
  <c r="D766"/>
  <c r="C766"/>
  <c r="A766"/>
  <c r="E765"/>
  <c r="D765"/>
  <c r="C765"/>
  <c r="A765"/>
  <c r="E764"/>
  <c r="D764"/>
  <c r="C764"/>
  <c r="A764"/>
  <c r="E763"/>
  <c r="D763"/>
  <c r="C763"/>
  <c r="A763"/>
  <c r="E762"/>
  <c r="D762"/>
  <c r="C762"/>
  <c r="A762"/>
  <c r="E761"/>
  <c r="D761"/>
  <c r="C761"/>
  <c r="A761"/>
  <c r="E760"/>
  <c r="D760"/>
  <c r="C760"/>
  <c r="A760"/>
  <c r="E759"/>
  <c r="D759"/>
  <c r="C759"/>
  <c r="A759"/>
  <c r="E758"/>
  <c r="D758"/>
  <c r="C758"/>
  <c r="A758"/>
  <c r="E757"/>
  <c r="D757"/>
  <c r="C757"/>
  <c r="A757"/>
  <c r="E756"/>
  <c r="D756"/>
  <c r="C756"/>
  <c r="A756"/>
  <c r="E755"/>
  <c r="D755"/>
  <c r="C755"/>
  <c r="A755"/>
  <c r="E754"/>
  <c r="D754"/>
  <c r="C754"/>
  <c r="A754"/>
  <c r="E753"/>
  <c r="D753"/>
  <c r="C753"/>
  <c r="A753"/>
  <c r="E752"/>
  <c r="D752"/>
  <c r="C752"/>
  <c r="A752"/>
  <c r="E751"/>
  <c r="D751"/>
  <c r="C751"/>
  <c r="A751"/>
  <c r="E750"/>
  <c r="D750"/>
  <c r="A750"/>
  <c r="E749"/>
  <c r="D749"/>
  <c r="C749"/>
  <c r="A749"/>
  <c r="E748"/>
  <c r="D748"/>
  <c r="C748"/>
  <c r="A748"/>
  <c r="E747"/>
  <c r="D747"/>
  <c r="C747"/>
  <c r="A747"/>
  <c r="E746"/>
  <c r="D746"/>
  <c r="C746"/>
  <c r="A746"/>
  <c r="E745"/>
  <c r="D745"/>
  <c r="C745"/>
  <c r="A745"/>
  <c r="E744"/>
  <c r="D744"/>
  <c r="C744"/>
  <c r="A744"/>
  <c r="E743"/>
  <c r="D743"/>
  <c r="C743"/>
  <c r="A743"/>
  <c r="E742"/>
  <c r="D742"/>
  <c r="C742"/>
  <c r="A742"/>
  <c r="E741"/>
  <c r="D741"/>
  <c r="C741"/>
  <c r="A741"/>
  <c r="E740"/>
  <c r="D740"/>
  <c r="C740"/>
  <c r="A740"/>
  <c r="E739"/>
  <c r="D739"/>
  <c r="A739"/>
  <c r="E738"/>
  <c r="D738"/>
  <c r="C738"/>
  <c r="A738"/>
  <c r="E737"/>
  <c r="D737"/>
  <c r="C737"/>
  <c r="A737"/>
  <c r="E736"/>
  <c r="D736"/>
  <c r="C736"/>
  <c r="A736"/>
  <c r="E735"/>
  <c r="D735"/>
  <c r="C735"/>
  <c r="A735"/>
  <c r="E734"/>
  <c r="D734"/>
  <c r="C734"/>
  <c r="A734"/>
  <c r="E733"/>
  <c r="D733"/>
  <c r="C733"/>
  <c r="A733"/>
  <c r="E732"/>
  <c r="D732"/>
  <c r="C732"/>
  <c r="A732"/>
  <c r="E731"/>
  <c r="D731"/>
  <c r="C731"/>
  <c r="A731"/>
  <c r="E730"/>
  <c r="D730"/>
  <c r="C730"/>
  <c r="A730"/>
  <c r="E729"/>
  <c r="D729"/>
  <c r="C729"/>
  <c r="A729"/>
  <c r="E728"/>
  <c r="D728"/>
  <c r="C728"/>
  <c r="A728"/>
  <c r="E727"/>
  <c r="D727"/>
  <c r="C727"/>
  <c r="A727"/>
  <c r="E726"/>
  <c r="D726"/>
  <c r="C726"/>
  <c r="A726"/>
  <c r="E725"/>
  <c r="D725"/>
  <c r="C725"/>
  <c r="A725"/>
  <c r="E724"/>
  <c r="D724"/>
  <c r="C724"/>
  <c r="A724"/>
  <c r="E723"/>
  <c r="D723"/>
  <c r="C723"/>
  <c r="A723"/>
  <c r="E722"/>
  <c r="D722"/>
  <c r="C722"/>
  <c r="A722"/>
  <c r="E721"/>
  <c r="D721"/>
  <c r="C721"/>
  <c r="A721"/>
  <c r="E720"/>
  <c r="D720"/>
  <c r="C720"/>
  <c r="A720"/>
  <c r="E719"/>
  <c r="D719"/>
  <c r="C719"/>
  <c r="A719"/>
  <c r="E718"/>
  <c r="D718"/>
  <c r="C718"/>
  <c r="A718"/>
  <c r="E717"/>
  <c r="D717"/>
  <c r="C717"/>
  <c r="A717"/>
  <c r="E716"/>
  <c r="D716"/>
  <c r="C716"/>
  <c r="A716"/>
  <c r="E715"/>
  <c r="D715"/>
  <c r="C715"/>
  <c r="A715"/>
  <c r="E714"/>
  <c r="D714"/>
  <c r="C714"/>
  <c r="A714"/>
  <c r="E713"/>
  <c r="D713"/>
  <c r="C713"/>
  <c r="A713"/>
  <c r="E712"/>
  <c r="D712"/>
  <c r="C712"/>
  <c r="A712"/>
  <c r="E711"/>
  <c r="D711"/>
  <c r="A711"/>
  <c r="E710"/>
  <c r="D710"/>
  <c r="C710"/>
  <c r="A710"/>
  <c r="E709"/>
  <c r="D709"/>
  <c r="C709"/>
  <c r="A709"/>
  <c r="E708"/>
  <c r="D708"/>
  <c r="C708"/>
  <c r="A708"/>
  <c r="E707"/>
  <c r="D707"/>
  <c r="C707"/>
  <c r="A707"/>
  <c r="E706"/>
  <c r="D706"/>
  <c r="C706"/>
  <c r="A706"/>
  <c r="E705"/>
  <c r="D705"/>
  <c r="C705"/>
  <c r="A705"/>
  <c r="E704"/>
  <c r="D704"/>
  <c r="C704"/>
  <c r="A704"/>
  <c r="E703"/>
  <c r="D703"/>
  <c r="C703"/>
  <c r="A703"/>
  <c r="E702"/>
  <c r="D702"/>
  <c r="C702"/>
  <c r="A702"/>
  <c r="E701"/>
  <c r="D701"/>
  <c r="C701"/>
  <c r="A701"/>
  <c r="E700"/>
  <c r="D700"/>
  <c r="C700"/>
  <c r="A700"/>
  <c r="E699"/>
  <c r="D699"/>
  <c r="C699"/>
  <c r="A699"/>
  <c r="E698"/>
  <c r="D698"/>
  <c r="C698"/>
  <c r="A698"/>
  <c r="E697"/>
  <c r="D697"/>
  <c r="C697"/>
  <c r="A697"/>
  <c r="E696"/>
  <c r="D696"/>
  <c r="C696"/>
  <c r="A696"/>
  <c r="E695"/>
  <c r="D695"/>
  <c r="C695"/>
  <c r="A695"/>
  <c r="E694"/>
  <c r="D694"/>
  <c r="C694"/>
  <c r="A694"/>
  <c r="E693"/>
  <c r="D693"/>
  <c r="C693"/>
  <c r="A693"/>
  <c r="E692"/>
  <c r="D692"/>
  <c r="C692"/>
  <c r="A692"/>
  <c r="E691"/>
  <c r="D691"/>
  <c r="C691"/>
  <c r="A691"/>
  <c r="E690"/>
  <c r="D690"/>
  <c r="C690"/>
  <c r="A690"/>
  <c r="E689"/>
  <c r="D689"/>
  <c r="C689"/>
  <c r="A689"/>
  <c r="E688"/>
  <c r="D688"/>
  <c r="C688"/>
  <c r="A688"/>
  <c r="E687"/>
  <c r="D687"/>
  <c r="C687"/>
  <c r="A687"/>
  <c r="E686"/>
  <c r="D686"/>
  <c r="C686"/>
  <c r="A686"/>
  <c r="E685"/>
  <c r="D685"/>
  <c r="C685"/>
  <c r="A685"/>
  <c r="E684"/>
  <c r="D684"/>
  <c r="C684"/>
  <c r="A684"/>
  <c r="E683"/>
  <c r="D683"/>
  <c r="C683"/>
  <c r="A683"/>
  <c r="E682"/>
  <c r="D682"/>
  <c r="C682"/>
  <c r="A682"/>
  <c r="E681"/>
  <c r="D681"/>
  <c r="C681"/>
  <c r="A681"/>
  <c r="E680"/>
  <c r="D680"/>
  <c r="C680"/>
  <c r="A680"/>
  <c r="E679"/>
  <c r="D679"/>
  <c r="C679"/>
  <c r="A679"/>
  <c r="E678"/>
  <c r="D678"/>
  <c r="C678"/>
  <c r="A678"/>
  <c r="E677"/>
  <c r="D677"/>
  <c r="C677"/>
  <c r="A677"/>
  <c r="E676"/>
  <c r="D676"/>
  <c r="C676"/>
  <c r="A676"/>
  <c r="E675"/>
  <c r="D675"/>
  <c r="C675"/>
  <c r="A675"/>
  <c r="E674"/>
  <c r="D674"/>
  <c r="C674"/>
  <c r="A674"/>
  <c r="E673"/>
  <c r="D673"/>
  <c r="C673"/>
  <c r="A673"/>
  <c r="E672"/>
  <c r="D672"/>
  <c r="C672"/>
  <c r="A672"/>
  <c r="E671"/>
  <c r="D671"/>
  <c r="C671"/>
  <c r="A671"/>
  <c r="E670"/>
  <c r="D670"/>
  <c r="C670"/>
  <c r="A670"/>
  <c r="E669"/>
  <c r="D669"/>
  <c r="C669"/>
  <c r="A669"/>
  <c r="E668"/>
  <c r="D668"/>
  <c r="C668"/>
  <c r="A668"/>
  <c r="E667"/>
  <c r="D667"/>
  <c r="C667"/>
  <c r="A667"/>
  <c r="E666"/>
  <c r="D666"/>
  <c r="C666"/>
  <c r="A666"/>
  <c r="E665"/>
  <c r="D665"/>
  <c r="C665"/>
  <c r="A665"/>
  <c r="E664"/>
  <c r="D664"/>
  <c r="C664"/>
  <c r="A664"/>
  <c r="E663"/>
  <c r="D663"/>
  <c r="A663"/>
  <c r="E662"/>
  <c r="D662"/>
  <c r="C662"/>
  <c r="A662"/>
  <c r="E661"/>
  <c r="D661"/>
  <c r="A661"/>
  <c r="E660"/>
  <c r="D660"/>
  <c r="C660"/>
  <c r="A660"/>
  <c r="E659"/>
  <c r="D659"/>
  <c r="C659"/>
  <c r="A659"/>
  <c r="E658"/>
  <c r="D658"/>
  <c r="C658"/>
  <c r="A658"/>
  <c r="E657"/>
  <c r="D657"/>
  <c r="C657"/>
  <c r="A657"/>
  <c r="E656"/>
  <c r="D656"/>
  <c r="C656"/>
  <c r="A656"/>
  <c r="E655"/>
  <c r="D655"/>
  <c r="C655"/>
  <c r="A655"/>
  <c r="E654"/>
  <c r="D654"/>
  <c r="C654"/>
  <c r="A654"/>
  <c r="E653"/>
  <c r="D653"/>
  <c r="C653"/>
  <c r="A653"/>
  <c r="E652"/>
  <c r="D652"/>
  <c r="C652"/>
  <c r="A652"/>
  <c r="E651"/>
  <c r="D651"/>
  <c r="C651"/>
  <c r="A651"/>
  <c r="E650"/>
  <c r="D650"/>
  <c r="C650"/>
  <c r="A650"/>
  <c r="E649"/>
  <c r="D649"/>
  <c r="C649"/>
  <c r="A649"/>
  <c r="E648"/>
  <c r="D648"/>
  <c r="C648"/>
  <c r="A648"/>
  <c r="E647"/>
  <c r="D647"/>
  <c r="C647"/>
  <c r="A647"/>
  <c r="E646"/>
  <c r="D646"/>
  <c r="C646"/>
  <c r="A646"/>
  <c r="E645"/>
  <c r="D645"/>
  <c r="C645"/>
  <c r="A645"/>
  <c r="E644"/>
  <c r="D644"/>
  <c r="C644"/>
  <c r="A644"/>
  <c r="E643"/>
  <c r="D643"/>
  <c r="C643"/>
  <c r="A643"/>
  <c r="E642"/>
  <c r="D642"/>
  <c r="C642"/>
  <c r="A642"/>
  <c r="E641"/>
  <c r="D641"/>
  <c r="C641"/>
  <c r="A641"/>
  <c r="E640"/>
  <c r="D640"/>
  <c r="C640"/>
  <c r="A640"/>
  <c r="E639"/>
  <c r="D639"/>
  <c r="C639"/>
  <c r="A639"/>
  <c r="E638"/>
  <c r="D638"/>
  <c r="C638"/>
  <c r="A638"/>
  <c r="E637"/>
  <c r="D637"/>
  <c r="C637"/>
  <c r="A637"/>
  <c r="E636"/>
  <c r="D636"/>
  <c r="C636"/>
  <c r="A636"/>
  <c r="E635"/>
  <c r="D635"/>
  <c r="C635"/>
  <c r="A635"/>
  <c r="E634"/>
  <c r="D634"/>
  <c r="C634"/>
  <c r="A634"/>
  <c r="E633"/>
  <c r="D633"/>
  <c r="C633"/>
  <c r="A633"/>
  <c r="E632"/>
  <c r="D632"/>
  <c r="C632"/>
  <c r="A632"/>
  <c r="E631"/>
  <c r="D631"/>
  <c r="C631"/>
  <c r="A631"/>
  <c r="E630"/>
  <c r="D630"/>
  <c r="C630"/>
  <c r="A630"/>
  <c r="E629"/>
  <c r="D629"/>
  <c r="C629"/>
  <c r="A629"/>
  <c r="E628"/>
  <c r="D628"/>
  <c r="C628"/>
  <c r="A628"/>
  <c r="E627"/>
  <c r="D627"/>
  <c r="C627"/>
  <c r="A627"/>
  <c r="E626"/>
  <c r="D626"/>
  <c r="C626"/>
  <c r="A626"/>
  <c r="E625"/>
  <c r="D625"/>
  <c r="C625"/>
  <c r="A625"/>
  <c r="E624"/>
  <c r="D624"/>
  <c r="C624"/>
  <c r="A624"/>
  <c r="E623"/>
  <c r="D623"/>
  <c r="C623"/>
  <c r="A623"/>
  <c r="E622"/>
  <c r="D622"/>
  <c r="C622"/>
  <c r="A622"/>
  <c r="E621"/>
  <c r="D621"/>
  <c r="C621"/>
  <c r="A621"/>
  <c r="E620"/>
  <c r="D620"/>
  <c r="C620"/>
  <c r="A620"/>
  <c r="E619"/>
  <c r="D619"/>
  <c r="C619"/>
  <c r="A619"/>
  <c r="E618"/>
  <c r="D618"/>
  <c r="C618"/>
  <c r="A618"/>
  <c r="E617"/>
  <c r="D617"/>
  <c r="C617"/>
  <c r="A617"/>
  <c r="E616"/>
  <c r="D616"/>
  <c r="C616"/>
  <c r="A616"/>
  <c r="E615"/>
  <c r="D615"/>
  <c r="C615"/>
  <c r="A615"/>
  <c r="E614"/>
  <c r="D614"/>
  <c r="C614"/>
  <c r="A614"/>
  <c r="E613"/>
  <c r="D613"/>
  <c r="C613"/>
  <c r="A613"/>
  <c r="E612"/>
  <c r="D612"/>
  <c r="C612"/>
  <c r="A612"/>
  <c r="E611"/>
  <c r="D611"/>
  <c r="C611"/>
  <c r="A611"/>
  <c r="E610"/>
  <c r="D610"/>
  <c r="C610"/>
  <c r="A610"/>
  <c r="E609"/>
  <c r="D609"/>
  <c r="C609"/>
  <c r="A609"/>
  <c r="E608"/>
  <c r="D608"/>
  <c r="C608"/>
  <c r="A608"/>
  <c r="E607"/>
  <c r="D607"/>
  <c r="C607"/>
  <c r="A607"/>
  <c r="E606"/>
  <c r="D606"/>
  <c r="C606"/>
  <c r="A606"/>
  <c r="E605"/>
  <c r="D605"/>
  <c r="C605"/>
  <c r="A605"/>
  <c r="E604"/>
  <c r="D604"/>
  <c r="C604"/>
  <c r="A604"/>
  <c r="E603"/>
  <c r="D603"/>
  <c r="C603"/>
  <c r="A603"/>
  <c r="E602"/>
  <c r="D602"/>
  <c r="C602"/>
  <c r="A602"/>
  <c r="E601"/>
  <c r="D601"/>
  <c r="C601"/>
  <c r="A601"/>
  <c r="E600"/>
  <c r="D600"/>
  <c r="C600"/>
  <c r="A600"/>
  <c r="E599"/>
  <c r="D599"/>
  <c r="C599"/>
  <c r="A599"/>
  <c r="E598"/>
  <c r="D598"/>
  <c r="C598"/>
  <c r="A598"/>
  <c r="E597"/>
  <c r="D597"/>
  <c r="C597"/>
  <c r="A597"/>
  <c r="E596"/>
  <c r="D596"/>
  <c r="C596"/>
  <c r="A596"/>
  <c r="E595"/>
  <c r="D595"/>
  <c r="C595"/>
  <c r="A595"/>
  <c r="E594"/>
  <c r="D594"/>
  <c r="C594"/>
  <c r="A594"/>
  <c r="E593"/>
  <c r="D593"/>
  <c r="C593"/>
  <c r="A593"/>
  <c r="E592"/>
  <c r="D592"/>
  <c r="C592"/>
  <c r="A592"/>
  <c r="E591"/>
  <c r="D591"/>
  <c r="A591"/>
  <c r="E590"/>
  <c r="D590"/>
  <c r="C590"/>
  <c r="A590"/>
  <c r="E589"/>
  <c r="D589"/>
  <c r="C589"/>
  <c r="A589"/>
  <c r="E588"/>
  <c r="D588"/>
  <c r="C588"/>
  <c r="A588"/>
  <c r="E587"/>
  <c r="D587"/>
  <c r="C587"/>
  <c r="A587"/>
  <c r="E586"/>
  <c r="D586"/>
  <c r="C586"/>
  <c r="A586"/>
  <c r="E585"/>
  <c r="D585"/>
  <c r="C585"/>
  <c r="A585"/>
  <c r="E584"/>
  <c r="D584"/>
  <c r="C584"/>
  <c r="A584"/>
  <c r="E583"/>
  <c r="D583"/>
  <c r="C583"/>
  <c r="A583"/>
  <c r="E582"/>
  <c r="D582"/>
  <c r="C582"/>
  <c r="A582"/>
  <c r="E581"/>
  <c r="D581"/>
  <c r="C581"/>
  <c r="A581"/>
  <c r="E580"/>
  <c r="D580"/>
  <c r="C580"/>
  <c r="A580"/>
  <c r="E579"/>
  <c r="D579"/>
  <c r="C579"/>
  <c r="A579"/>
  <c r="E578"/>
  <c r="D578"/>
  <c r="C578"/>
  <c r="A578"/>
  <c r="E577"/>
  <c r="D577"/>
  <c r="A577"/>
  <c r="E576"/>
  <c r="D576"/>
  <c r="C576"/>
  <c r="A576"/>
  <c r="E575"/>
  <c r="D575"/>
  <c r="C575"/>
  <c r="A575"/>
  <c r="E574"/>
  <c r="D574"/>
  <c r="C574"/>
  <c r="A574"/>
  <c r="E573"/>
  <c r="D573"/>
  <c r="C573"/>
  <c r="A573"/>
  <c r="E572"/>
  <c r="D572"/>
  <c r="C572"/>
  <c r="A572"/>
  <c r="E571"/>
  <c r="D571"/>
  <c r="C571"/>
  <c r="A571"/>
  <c r="E570"/>
  <c r="D570"/>
  <c r="C570"/>
  <c r="A570"/>
  <c r="E569"/>
  <c r="D569"/>
  <c r="C569"/>
  <c r="A569"/>
  <c r="E568"/>
  <c r="D568"/>
  <c r="C568"/>
  <c r="A568"/>
  <c r="E567"/>
  <c r="D567"/>
  <c r="C567"/>
  <c r="A567"/>
  <c r="E566"/>
  <c r="D566"/>
  <c r="C566"/>
  <c r="A566"/>
  <c r="E565"/>
  <c r="D565"/>
  <c r="C565"/>
  <c r="A565"/>
  <c r="E564"/>
  <c r="D564"/>
  <c r="C564"/>
  <c r="A564"/>
  <c r="E563"/>
  <c r="D563"/>
  <c r="C563"/>
  <c r="A563"/>
  <c r="E562"/>
  <c r="D562"/>
  <c r="C562"/>
  <c r="A562"/>
  <c r="E561"/>
  <c r="D561"/>
  <c r="C561"/>
  <c r="A561"/>
  <c r="E560"/>
  <c r="D560"/>
  <c r="C560"/>
  <c r="A560"/>
  <c r="E559"/>
  <c r="D559"/>
  <c r="C559"/>
  <c r="A559"/>
  <c r="E558"/>
  <c r="D558"/>
  <c r="C558"/>
  <c r="A558"/>
  <c r="E557"/>
  <c r="D557"/>
  <c r="C557"/>
  <c r="A557"/>
  <c r="E556"/>
  <c r="D556"/>
  <c r="C556"/>
  <c r="A556"/>
  <c r="E555"/>
  <c r="D555"/>
  <c r="C555"/>
  <c r="A555"/>
  <c r="E554"/>
  <c r="D554"/>
  <c r="C554"/>
  <c r="A554"/>
  <c r="E553"/>
  <c r="D553"/>
  <c r="C553"/>
  <c r="A553"/>
  <c r="E552"/>
  <c r="D552"/>
  <c r="C552"/>
  <c r="A552"/>
  <c r="E551"/>
  <c r="D551"/>
  <c r="C551"/>
  <c r="A551"/>
  <c r="E550"/>
  <c r="D550"/>
  <c r="A550"/>
  <c r="E549"/>
  <c r="D549"/>
  <c r="C549"/>
  <c r="A549"/>
  <c r="E548"/>
  <c r="D548"/>
  <c r="A548"/>
  <c r="E547"/>
  <c r="D547"/>
  <c r="C547"/>
  <c r="A547"/>
  <c r="E546"/>
  <c r="D546"/>
  <c r="C546"/>
  <c r="A546"/>
  <c r="E545"/>
  <c r="D545"/>
  <c r="C545"/>
  <c r="A545"/>
  <c r="E544"/>
  <c r="D544"/>
  <c r="A544"/>
  <c r="E543"/>
  <c r="D543"/>
  <c r="C543"/>
  <c r="E542"/>
  <c r="D542"/>
  <c r="C542"/>
  <c r="E541"/>
  <c r="D541"/>
  <c r="C541"/>
  <c r="A541"/>
  <c r="E540"/>
  <c r="D540"/>
  <c r="C540"/>
  <c r="A540"/>
  <c r="E539"/>
  <c r="D539"/>
  <c r="C539"/>
  <c r="A539"/>
  <c r="E538"/>
  <c r="D538"/>
  <c r="C538"/>
  <c r="A538"/>
  <c r="E537"/>
  <c r="D537"/>
  <c r="C537"/>
  <c r="A537"/>
  <c r="E536"/>
  <c r="D536"/>
  <c r="C536"/>
  <c r="A536"/>
  <c r="E535"/>
  <c r="D535"/>
  <c r="C535"/>
  <c r="A535"/>
  <c r="E534"/>
  <c r="D534"/>
  <c r="C534"/>
  <c r="A534"/>
  <c r="E533"/>
  <c r="D533"/>
  <c r="C533"/>
  <c r="A533"/>
  <c r="E532"/>
  <c r="D532"/>
  <c r="C532"/>
  <c r="A532"/>
  <c r="E531"/>
  <c r="D531"/>
  <c r="C531"/>
  <c r="A531"/>
  <c r="E530"/>
  <c r="D530"/>
  <c r="C530"/>
  <c r="A530"/>
  <c r="E529"/>
  <c r="D529"/>
  <c r="C529"/>
  <c r="A529"/>
  <c r="E528"/>
  <c r="D528"/>
  <c r="C528"/>
  <c r="A528"/>
  <c r="E527"/>
  <c r="D527"/>
  <c r="C527"/>
  <c r="A527"/>
  <c r="E526"/>
  <c r="D526"/>
  <c r="C526"/>
  <c r="A526"/>
  <c r="E525"/>
  <c r="D525"/>
  <c r="C525"/>
  <c r="A525"/>
  <c r="E524"/>
  <c r="D524"/>
  <c r="C524"/>
  <c r="A524"/>
  <c r="E523"/>
  <c r="D523"/>
  <c r="C523"/>
  <c r="A523"/>
  <c r="E522"/>
  <c r="D522"/>
  <c r="C522"/>
  <c r="A522"/>
  <c r="E521"/>
  <c r="D521"/>
  <c r="C521"/>
  <c r="A521"/>
  <c r="E520"/>
  <c r="D520"/>
  <c r="C520"/>
  <c r="A520"/>
  <c r="E519"/>
  <c r="D519"/>
  <c r="C519"/>
  <c r="A519"/>
  <c r="E518"/>
  <c r="D518"/>
  <c r="C518"/>
  <c r="A518"/>
  <c r="E517"/>
  <c r="D517"/>
  <c r="C517"/>
  <c r="A517"/>
  <c r="E516"/>
  <c r="D516"/>
  <c r="C516"/>
  <c r="A516"/>
  <c r="E515"/>
  <c r="D515"/>
  <c r="C515"/>
  <c r="A515"/>
  <c r="E514"/>
  <c r="D514"/>
  <c r="C514"/>
  <c r="A514"/>
  <c r="E513"/>
  <c r="D513"/>
  <c r="C513"/>
  <c r="A513"/>
  <c r="E512"/>
  <c r="D512"/>
  <c r="C512"/>
  <c r="B512"/>
  <c r="A512"/>
  <c r="E511"/>
  <c r="D511"/>
  <c r="C511"/>
  <c r="A511"/>
  <c r="E510"/>
  <c r="D510"/>
  <c r="C510"/>
  <c r="A510"/>
  <c r="E509"/>
  <c r="D509"/>
  <c r="C509"/>
  <c r="A509"/>
  <c r="E508"/>
  <c r="D508"/>
  <c r="C508"/>
  <c r="A508"/>
  <c r="E507"/>
  <c r="D507"/>
  <c r="C507"/>
  <c r="A507"/>
  <c r="E506"/>
  <c r="D506"/>
  <c r="C506"/>
  <c r="A506"/>
  <c r="E505"/>
  <c r="D505"/>
  <c r="C505"/>
  <c r="A505"/>
  <c r="E504"/>
  <c r="D504"/>
  <c r="C504"/>
  <c r="A504"/>
  <c r="E503"/>
  <c r="D503"/>
  <c r="C503"/>
  <c r="A503"/>
  <c r="E502"/>
  <c r="D502"/>
  <c r="C502"/>
  <c r="A502"/>
  <c r="E501"/>
  <c r="D501"/>
  <c r="C501"/>
  <c r="A501"/>
  <c r="E500"/>
  <c r="D500"/>
  <c r="C500"/>
  <c r="A500"/>
  <c r="E499"/>
  <c r="D499"/>
  <c r="C499"/>
  <c r="A499"/>
  <c r="E498"/>
  <c r="D498"/>
  <c r="C498"/>
  <c r="A498"/>
  <c r="E497"/>
  <c r="D497"/>
  <c r="C497"/>
  <c r="A497"/>
  <c r="E496"/>
  <c r="D496"/>
  <c r="C496"/>
  <c r="A496"/>
  <c r="E495"/>
  <c r="D495"/>
  <c r="C495"/>
  <c r="A495"/>
  <c r="E494"/>
  <c r="D494"/>
  <c r="C494"/>
  <c r="A494"/>
  <c r="E493"/>
  <c r="D493"/>
  <c r="C493"/>
  <c r="A493"/>
  <c r="E492"/>
  <c r="D492"/>
  <c r="C492"/>
  <c r="A492"/>
  <c r="E491"/>
  <c r="D491"/>
  <c r="C491"/>
  <c r="A491"/>
  <c r="E490"/>
  <c r="D490"/>
  <c r="C490"/>
  <c r="A490"/>
  <c r="E489"/>
  <c r="D489"/>
  <c r="C489"/>
  <c r="A489"/>
  <c r="E488"/>
  <c r="D488"/>
  <c r="C488"/>
  <c r="A488"/>
  <c r="E487"/>
  <c r="D487"/>
  <c r="C487"/>
  <c r="A487"/>
  <c r="E486"/>
  <c r="D486"/>
  <c r="C486"/>
  <c r="A486"/>
  <c r="E485"/>
  <c r="D485"/>
  <c r="C485"/>
  <c r="A485"/>
  <c r="E484"/>
  <c r="D484"/>
  <c r="C484"/>
  <c r="A484"/>
  <c r="E483"/>
  <c r="D483"/>
  <c r="C483"/>
  <c r="A483"/>
  <c r="E482"/>
  <c r="D482"/>
  <c r="C482"/>
  <c r="E481"/>
  <c r="D481"/>
  <c r="C481"/>
  <c r="A481"/>
  <c r="E480"/>
  <c r="D480"/>
  <c r="C480"/>
  <c r="A480"/>
  <c r="E479"/>
  <c r="D479"/>
  <c r="C479"/>
  <c r="A479"/>
  <c r="E478"/>
  <c r="D478"/>
  <c r="C478"/>
  <c r="A478"/>
  <c r="E477"/>
  <c r="D477"/>
  <c r="C477"/>
  <c r="A477"/>
  <c r="E476"/>
  <c r="D476"/>
  <c r="C476"/>
  <c r="A476"/>
  <c r="E475"/>
  <c r="D475"/>
  <c r="C475"/>
  <c r="A475"/>
  <c r="E474"/>
  <c r="D474"/>
  <c r="C474"/>
  <c r="A474"/>
  <c r="E473"/>
  <c r="D473"/>
  <c r="C473"/>
  <c r="A473"/>
  <c r="E472"/>
  <c r="D472"/>
  <c r="C472"/>
  <c r="A472"/>
  <c r="E471"/>
  <c r="D471"/>
  <c r="C471"/>
  <c r="A471"/>
  <c r="E470"/>
  <c r="D470"/>
  <c r="C470"/>
  <c r="A470"/>
  <c r="E469"/>
  <c r="D469"/>
  <c r="C469"/>
  <c r="A469"/>
  <c r="E468"/>
  <c r="D468"/>
  <c r="C468"/>
  <c r="A468"/>
  <c r="E467"/>
  <c r="D467"/>
  <c r="C467"/>
  <c r="A467"/>
  <c r="E466"/>
  <c r="D466"/>
  <c r="C466"/>
  <c r="A466"/>
  <c r="E465"/>
  <c r="D465"/>
  <c r="C465"/>
  <c r="A465"/>
  <c r="E464"/>
  <c r="D464"/>
  <c r="C464"/>
  <c r="A464"/>
  <c r="E463"/>
  <c r="D463"/>
  <c r="C463"/>
  <c r="A463"/>
  <c r="E462"/>
  <c r="D462"/>
  <c r="C462"/>
  <c r="A462"/>
  <c r="E461"/>
  <c r="D461"/>
  <c r="C461"/>
  <c r="A461"/>
  <c r="E460"/>
  <c r="D460"/>
  <c r="C460"/>
  <c r="A460"/>
  <c r="E459"/>
  <c r="D459"/>
  <c r="C459"/>
  <c r="A459"/>
  <c r="E458"/>
  <c r="D458"/>
  <c r="C458"/>
  <c r="A458"/>
  <c r="E457"/>
  <c r="D457"/>
  <c r="C457"/>
  <c r="A457"/>
  <c r="E456"/>
  <c r="D456"/>
  <c r="C456"/>
  <c r="A456"/>
  <c r="E455"/>
  <c r="D455"/>
  <c r="C455"/>
  <c r="A455"/>
  <c r="E454"/>
  <c r="D454"/>
  <c r="C454"/>
  <c r="A454"/>
  <c r="E453"/>
  <c r="D453"/>
  <c r="C453"/>
  <c r="A453"/>
  <c r="E452"/>
  <c r="D452"/>
  <c r="C452"/>
  <c r="A452"/>
  <c r="E451"/>
  <c r="D451"/>
  <c r="C451"/>
  <c r="A451"/>
  <c r="E450"/>
  <c r="D450"/>
  <c r="C450"/>
  <c r="A450"/>
  <c r="E449"/>
  <c r="D449"/>
  <c r="C449"/>
  <c r="A449"/>
  <c r="E448"/>
  <c r="D448"/>
  <c r="C448"/>
  <c r="A448"/>
  <c r="E447"/>
  <c r="D447"/>
  <c r="C447"/>
  <c r="A447"/>
  <c r="E446"/>
  <c r="D446"/>
  <c r="C446"/>
  <c r="A446"/>
  <c r="E445"/>
  <c r="D445"/>
  <c r="C445"/>
  <c r="A445"/>
  <c r="E444"/>
  <c r="D444"/>
  <c r="C444"/>
  <c r="A444"/>
  <c r="E443"/>
  <c r="D443"/>
  <c r="C443"/>
  <c r="A443"/>
  <c r="E442"/>
  <c r="D442"/>
  <c r="C442"/>
  <c r="A442"/>
  <c r="E441"/>
  <c r="D441"/>
  <c r="C441"/>
  <c r="A441"/>
  <c r="E440"/>
  <c r="D440"/>
  <c r="C440"/>
  <c r="A440"/>
  <c r="E439"/>
  <c r="D439"/>
  <c r="C439"/>
  <c r="A439"/>
  <c r="E438"/>
  <c r="D438"/>
  <c r="C438"/>
  <c r="A438"/>
  <c r="E437"/>
  <c r="D437"/>
  <c r="C437"/>
  <c r="A437"/>
  <c r="E436"/>
  <c r="D436"/>
  <c r="C436"/>
  <c r="A436"/>
  <c r="E435"/>
  <c r="D435"/>
  <c r="C435"/>
  <c r="A435"/>
  <c r="E434"/>
  <c r="D434"/>
  <c r="C434"/>
  <c r="A434"/>
  <c r="E433"/>
  <c r="D433"/>
  <c r="C433"/>
  <c r="A433"/>
  <c r="E432"/>
  <c r="D432"/>
  <c r="C432"/>
  <c r="A432"/>
  <c r="E431"/>
  <c r="D431"/>
  <c r="C431"/>
  <c r="A431"/>
  <c r="E430"/>
  <c r="D430"/>
  <c r="C430"/>
  <c r="A430"/>
  <c r="E429"/>
  <c r="D429"/>
  <c r="C429"/>
  <c r="A429"/>
  <c r="E428"/>
  <c r="D428"/>
  <c r="C428"/>
  <c r="A428"/>
  <c r="E427"/>
  <c r="D427"/>
  <c r="C427"/>
  <c r="A427"/>
  <c r="E426"/>
  <c r="D426"/>
  <c r="C426"/>
  <c r="A426"/>
  <c r="E425"/>
  <c r="D425"/>
  <c r="C425"/>
  <c r="A425"/>
  <c r="E424"/>
  <c r="D424"/>
  <c r="C424"/>
  <c r="A424"/>
  <c r="E423"/>
  <c r="D423"/>
  <c r="A423"/>
  <c r="E422"/>
  <c r="D422"/>
  <c r="A422"/>
  <c r="E421"/>
  <c r="D421"/>
  <c r="C421"/>
  <c r="A421"/>
  <c r="E420"/>
  <c r="D420"/>
  <c r="C420"/>
  <c r="A420"/>
  <c r="E419"/>
  <c r="D419"/>
  <c r="C419"/>
  <c r="A419"/>
  <c r="E418"/>
  <c r="D418"/>
  <c r="C418"/>
  <c r="A418"/>
  <c r="E417"/>
  <c r="D417"/>
  <c r="C417"/>
  <c r="A417"/>
  <c r="E416"/>
  <c r="D416"/>
  <c r="C416"/>
  <c r="A416"/>
  <c r="E415"/>
  <c r="D415"/>
  <c r="C415"/>
  <c r="A415"/>
  <c r="E414"/>
  <c r="D414"/>
  <c r="C414"/>
  <c r="A414"/>
  <c r="E413"/>
  <c r="D413"/>
  <c r="C413"/>
  <c r="A413"/>
  <c r="E412"/>
  <c r="D412"/>
  <c r="C412"/>
  <c r="A412"/>
  <c r="E411"/>
  <c r="D411"/>
  <c r="C411"/>
  <c r="A411"/>
  <c r="E410"/>
  <c r="D410"/>
  <c r="C410"/>
  <c r="A410"/>
  <c r="E409"/>
  <c r="D409"/>
  <c r="C409"/>
  <c r="A409"/>
  <c r="E408"/>
  <c r="D408"/>
  <c r="A408"/>
  <c r="E407"/>
  <c r="D407"/>
  <c r="C407"/>
  <c r="A407"/>
  <c r="E406"/>
  <c r="D406"/>
  <c r="C406"/>
  <c r="A406"/>
  <c r="E405"/>
  <c r="D405"/>
  <c r="C405"/>
  <c r="A405"/>
  <c r="E404"/>
  <c r="D404"/>
  <c r="C404"/>
  <c r="A404"/>
  <c r="E403"/>
  <c r="D403"/>
  <c r="C403"/>
  <c r="A403"/>
  <c r="E402"/>
  <c r="D402"/>
  <c r="C402"/>
  <c r="A402"/>
  <c r="E401"/>
  <c r="D401"/>
  <c r="C401"/>
  <c r="A401"/>
  <c r="E400"/>
  <c r="D400"/>
  <c r="C400"/>
  <c r="A400"/>
  <c r="E399"/>
  <c r="D399"/>
  <c r="C399"/>
  <c r="B399"/>
  <c r="A399"/>
  <c r="E398"/>
  <c r="D398"/>
  <c r="C398"/>
  <c r="A398"/>
  <c r="E397"/>
  <c r="D397"/>
  <c r="C397"/>
  <c r="B397"/>
  <c r="A397"/>
  <c r="E396"/>
  <c r="D396"/>
  <c r="C396"/>
  <c r="A396"/>
  <c r="E395"/>
  <c r="D395"/>
  <c r="C395"/>
  <c r="A395"/>
  <c r="E394"/>
  <c r="D394"/>
  <c r="C394"/>
  <c r="A394"/>
  <c r="E393"/>
  <c r="D393"/>
  <c r="C393"/>
  <c r="A393"/>
  <c r="E392"/>
  <c r="D392"/>
  <c r="C392"/>
  <c r="A392"/>
  <c r="E391"/>
  <c r="D391"/>
  <c r="C391"/>
  <c r="A391"/>
  <c r="E390"/>
  <c r="D390"/>
  <c r="C390"/>
  <c r="A390"/>
  <c r="E389"/>
  <c r="D389"/>
  <c r="C389"/>
  <c r="A389"/>
  <c r="E388"/>
  <c r="D388"/>
  <c r="C388"/>
  <c r="A388"/>
  <c r="E387"/>
  <c r="D387"/>
  <c r="C387"/>
  <c r="A387"/>
  <c r="E386"/>
  <c r="D386"/>
  <c r="C386"/>
  <c r="A386"/>
  <c r="E385"/>
  <c r="D385"/>
  <c r="C385"/>
  <c r="A385"/>
  <c r="E384"/>
  <c r="D384"/>
  <c r="C384"/>
  <c r="A384"/>
  <c r="E383"/>
  <c r="D383"/>
  <c r="C383"/>
  <c r="A383"/>
  <c r="E382"/>
  <c r="D382"/>
  <c r="C382"/>
  <c r="A382"/>
  <c r="E381"/>
  <c r="D381"/>
  <c r="C381"/>
  <c r="A381"/>
  <c r="E380"/>
  <c r="D380"/>
  <c r="C380"/>
  <c r="A380"/>
  <c r="E379"/>
  <c r="D379"/>
  <c r="C379"/>
  <c r="A379"/>
  <c r="E378"/>
  <c r="D378"/>
  <c r="A378"/>
  <c r="E377"/>
  <c r="D377"/>
  <c r="C377"/>
  <c r="A377"/>
  <c r="E376"/>
  <c r="D376"/>
  <c r="C376"/>
  <c r="A376"/>
  <c r="E375"/>
  <c r="D375"/>
  <c r="C375"/>
  <c r="A375"/>
  <c r="E374"/>
  <c r="D374"/>
  <c r="C374"/>
  <c r="A374"/>
  <c r="E373"/>
  <c r="D373"/>
  <c r="C373"/>
  <c r="A373"/>
  <c r="E372"/>
  <c r="D372"/>
  <c r="C372"/>
  <c r="A372"/>
  <c r="E371"/>
  <c r="D371"/>
  <c r="C371"/>
  <c r="A371"/>
  <c r="E370"/>
  <c r="D370"/>
  <c r="C370"/>
  <c r="A370"/>
  <c r="E369"/>
  <c r="D369"/>
  <c r="C369"/>
  <c r="A369"/>
  <c r="E368"/>
  <c r="D368"/>
  <c r="C368"/>
  <c r="A368"/>
  <c r="E367"/>
  <c r="D367"/>
  <c r="C367"/>
  <c r="A367"/>
  <c r="E366"/>
  <c r="D366"/>
  <c r="C366"/>
  <c r="A366"/>
  <c r="E365"/>
  <c r="D365"/>
  <c r="C365"/>
  <c r="A365"/>
  <c r="E364"/>
  <c r="D364"/>
  <c r="C364"/>
  <c r="A364"/>
  <c r="E363"/>
  <c r="D363"/>
  <c r="C363"/>
  <c r="A363"/>
  <c r="E362"/>
  <c r="D362"/>
  <c r="C362"/>
  <c r="A362"/>
  <c r="E361"/>
  <c r="D361"/>
  <c r="C361"/>
  <c r="A361"/>
  <c r="E360"/>
  <c r="D360"/>
  <c r="C360"/>
  <c r="A360"/>
  <c r="E359"/>
  <c r="D359"/>
  <c r="C359"/>
  <c r="A359"/>
  <c r="E358"/>
  <c r="D358"/>
  <c r="C358"/>
  <c r="A358"/>
  <c r="E357"/>
  <c r="D357"/>
  <c r="C357"/>
  <c r="A357"/>
  <c r="E356"/>
  <c r="D356"/>
  <c r="C356"/>
  <c r="A356"/>
  <c r="E355"/>
  <c r="D355"/>
  <c r="C355"/>
  <c r="A355"/>
  <c r="E354"/>
  <c r="D354"/>
  <c r="C354"/>
  <c r="A354"/>
  <c r="E353"/>
  <c r="D353"/>
  <c r="C353"/>
  <c r="A353"/>
  <c r="E352"/>
  <c r="D352"/>
  <c r="C352"/>
  <c r="A352"/>
  <c r="E351"/>
  <c r="D351"/>
  <c r="C351"/>
  <c r="A351"/>
  <c r="E350"/>
  <c r="D350"/>
  <c r="C350"/>
  <c r="A350"/>
  <c r="E349"/>
  <c r="D349"/>
  <c r="C349"/>
  <c r="A349"/>
  <c r="E348"/>
  <c r="D348"/>
  <c r="C348"/>
  <c r="A348"/>
  <c r="E347"/>
  <c r="D347"/>
  <c r="C347"/>
  <c r="A347"/>
  <c r="E346"/>
  <c r="D346"/>
  <c r="C346"/>
  <c r="A346"/>
  <c r="E345"/>
  <c r="D345"/>
  <c r="C345"/>
  <c r="A345"/>
  <c r="E344"/>
  <c r="D344"/>
  <c r="C344"/>
  <c r="A344"/>
  <c r="E343"/>
  <c r="D343"/>
  <c r="C343"/>
  <c r="A343"/>
  <c r="E342"/>
  <c r="D342"/>
  <c r="C342"/>
  <c r="A342"/>
  <c r="E341"/>
  <c r="D341"/>
  <c r="C341"/>
  <c r="A341"/>
  <c r="E340"/>
  <c r="D340"/>
  <c r="C340"/>
  <c r="A340"/>
  <c r="E339"/>
  <c r="D339"/>
  <c r="C339"/>
  <c r="A339"/>
  <c r="E338"/>
  <c r="D338"/>
  <c r="C338"/>
  <c r="A338"/>
  <c r="E337"/>
  <c r="D337"/>
  <c r="C337"/>
  <c r="A337"/>
  <c r="E336"/>
  <c r="D336"/>
  <c r="C336"/>
  <c r="A336"/>
  <c r="E335"/>
  <c r="D335"/>
  <c r="C335"/>
  <c r="A335"/>
  <c r="E334"/>
  <c r="D334"/>
  <c r="A334"/>
  <c r="E333"/>
  <c r="D333"/>
  <c r="A333"/>
  <c r="E332"/>
  <c r="D332"/>
  <c r="C332"/>
  <c r="A332"/>
  <c r="E331"/>
  <c r="D331"/>
  <c r="C331"/>
  <c r="A331"/>
  <c r="E330"/>
  <c r="D330"/>
  <c r="C330"/>
  <c r="A330"/>
  <c r="E329"/>
  <c r="D329"/>
  <c r="C329"/>
  <c r="A329"/>
  <c r="E328"/>
  <c r="D328"/>
  <c r="C328"/>
  <c r="A328"/>
  <c r="E327"/>
  <c r="D327"/>
  <c r="C327"/>
  <c r="A327"/>
  <c r="E326"/>
  <c r="D326"/>
  <c r="C326"/>
  <c r="A326"/>
  <c r="E325"/>
  <c r="D325"/>
  <c r="C325"/>
  <c r="A325"/>
  <c r="E324"/>
  <c r="D324"/>
  <c r="C324"/>
  <c r="A324"/>
  <c r="E323"/>
  <c r="D323"/>
  <c r="C323"/>
  <c r="A323"/>
  <c r="E322"/>
  <c r="D322"/>
  <c r="C322"/>
  <c r="A322"/>
  <c r="E321"/>
  <c r="D321"/>
  <c r="C321"/>
  <c r="A321"/>
  <c r="E320"/>
  <c r="D320"/>
  <c r="C320"/>
  <c r="A320"/>
  <c r="E319"/>
  <c r="D319"/>
  <c r="C319"/>
  <c r="A319"/>
  <c r="E318"/>
  <c r="D318"/>
  <c r="C318"/>
  <c r="A318"/>
  <c r="E317"/>
  <c r="D317"/>
  <c r="A317"/>
  <c r="E316"/>
  <c r="D316"/>
  <c r="C316"/>
  <c r="A316"/>
  <c r="E315"/>
  <c r="D315"/>
  <c r="C315"/>
  <c r="A315"/>
  <c r="E314"/>
  <c r="D314"/>
  <c r="C314"/>
  <c r="A314"/>
  <c r="E313"/>
  <c r="D313"/>
  <c r="C313"/>
  <c r="A313"/>
  <c r="E312"/>
  <c r="D312"/>
  <c r="C312"/>
  <c r="A312"/>
  <c r="E311"/>
  <c r="D311"/>
  <c r="C311"/>
  <c r="A311"/>
  <c r="E310"/>
  <c r="D310"/>
  <c r="C310"/>
  <c r="A310"/>
  <c r="E309"/>
  <c r="D309"/>
  <c r="C309"/>
  <c r="A309"/>
  <c r="E308"/>
  <c r="D308"/>
  <c r="C308"/>
  <c r="A308"/>
  <c r="E307"/>
  <c r="D307"/>
  <c r="C307"/>
  <c r="A307"/>
  <c r="E306"/>
  <c r="D306"/>
  <c r="C306"/>
  <c r="A306"/>
  <c r="E305"/>
  <c r="D305"/>
  <c r="C305"/>
  <c r="A305"/>
  <c r="E304"/>
  <c r="D304"/>
  <c r="C304"/>
  <c r="A304"/>
  <c r="E303"/>
  <c r="D303"/>
  <c r="C303"/>
  <c r="A303"/>
  <c r="E302"/>
  <c r="D302"/>
  <c r="A302"/>
  <c r="E301"/>
  <c r="D301"/>
  <c r="C301"/>
  <c r="A301"/>
  <c r="E300"/>
  <c r="D300"/>
  <c r="C300"/>
  <c r="A300"/>
  <c r="E299"/>
  <c r="D299"/>
  <c r="C299"/>
  <c r="A299"/>
  <c r="E298"/>
  <c r="D298"/>
  <c r="C298"/>
  <c r="A298"/>
  <c r="E297"/>
  <c r="D297"/>
  <c r="A297"/>
  <c r="E296"/>
  <c r="D296"/>
  <c r="A296"/>
  <c r="E295"/>
  <c r="D295"/>
  <c r="A295"/>
  <c r="E294"/>
  <c r="D294"/>
  <c r="C294"/>
  <c r="A294"/>
  <c r="E293"/>
  <c r="D293"/>
  <c r="C293"/>
  <c r="A293"/>
  <c r="E292"/>
  <c r="D292"/>
  <c r="C292"/>
  <c r="A292"/>
  <c r="E291"/>
  <c r="D291"/>
  <c r="C291"/>
  <c r="A291"/>
  <c r="E290"/>
  <c r="D290"/>
  <c r="C290"/>
  <c r="A290"/>
  <c r="E289"/>
  <c r="D289"/>
  <c r="C289"/>
  <c r="A289"/>
  <c r="E288"/>
  <c r="D288"/>
  <c r="C288"/>
  <c r="A288"/>
  <c r="E287"/>
  <c r="D287"/>
  <c r="C287"/>
  <c r="A287"/>
  <c r="E286"/>
  <c r="D286"/>
  <c r="C286"/>
  <c r="A286"/>
  <c r="E285"/>
  <c r="D285"/>
  <c r="C285"/>
  <c r="A285"/>
  <c r="E284"/>
  <c r="D284"/>
  <c r="C284"/>
  <c r="A284"/>
  <c r="E283"/>
  <c r="D283"/>
  <c r="C283"/>
  <c r="A283"/>
  <c r="E282"/>
  <c r="D282"/>
  <c r="C282"/>
  <c r="A282"/>
  <c r="E281"/>
  <c r="D281"/>
  <c r="C281"/>
  <c r="A281"/>
  <c r="E280"/>
  <c r="D280"/>
  <c r="C280"/>
  <c r="A280"/>
  <c r="E279"/>
  <c r="D279"/>
  <c r="C279"/>
  <c r="A279"/>
  <c r="E278"/>
  <c r="D278"/>
  <c r="C278"/>
  <c r="A278"/>
  <c r="E277"/>
  <c r="D277"/>
  <c r="C277"/>
  <c r="A277"/>
  <c r="E276"/>
  <c r="D276"/>
  <c r="C276"/>
  <c r="A276"/>
  <c r="E275"/>
  <c r="D275"/>
  <c r="C275"/>
  <c r="A275"/>
  <c r="E274"/>
  <c r="D274"/>
  <c r="C274"/>
  <c r="A274"/>
  <c r="E273"/>
  <c r="D273"/>
  <c r="C273"/>
  <c r="A273"/>
  <c r="E272"/>
  <c r="D272"/>
  <c r="C272"/>
  <c r="A272"/>
  <c r="E271"/>
  <c r="D271"/>
  <c r="C271"/>
  <c r="A271"/>
  <c r="E270"/>
  <c r="D270"/>
  <c r="C270"/>
  <c r="A270"/>
  <c r="E269"/>
  <c r="D269"/>
  <c r="C269"/>
  <c r="A269"/>
  <c r="E268"/>
  <c r="D268"/>
  <c r="C268"/>
  <c r="A268"/>
  <c r="E267"/>
  <c r="D267"/>
  <c r="C267"/>
  <c r="A267"/>
  <c r="E266"/>
  <c r="D266"/>
  <c r="C266"/>
  <c r="A266"/>
  <c r="E265"/>
  <c r="D265"/>
  <c r="C265"/>
  <c r="A265"/>
  <c r="E264"/>
  <c r="D264"/>
  <c r="C264"/>
  <c r="A264"/>
  <c r="E263"/>
  <c r="D263"/>
  <c r="C263"/>
  <c r="A263"/>
  <c r="E262"/>
  <c r="D262"/>
  <c r="C262"/>
  <c r="A262"/>
  <c r="E261"/>
  <c r="D261"/>
  <c r="C261"/>
  <c r="A261"/>
  <c r="E260"/>
  <c r="D260"/>
  <c r="C260"/>
  <c r="A260"/>
  <c r="E259"/>
  <c r="D259"/>
  <c r="C259"/>
  <c r="A259"/>
  <c r="E258"/>
  <c r="D258"/>
  <c r="C258"/>
  <c r="A258"/>
  <c r="E257"/>
  <c r="D257"/>
  <c r="C257"/>
  <c r="A257"/>
  <c r="E256"/>
  <c r="D256"/>
  <c r="A256"/>
  <c r="E255"/>
  <c r="D255"/>
  <c r="C255"/>
  <c r="A255"/>
  <c r="E254"/>
  <c r="D254"/>
  <c r="C254"/>
  <c r="A254"/>
  <c r="E253"/>
  <c r="D253"/>
  <c r="C253"/>
  <c r="A253"/>
  <c r="E252"/>
  <c r="D252"/>
  <c r="C252"/>
  <c r="A252"/>
  <c r="E251"/>
  <c r="D251"/>
  <c r="C251"/>
  <c r="A251"/>
  <c r="E250"/>
  <c r="D250"/>
  <c r="C250"/>
  <c r="A250"/>
  <c r="E249"/>
  <c r="D249"/>
  <c r="C249"/>
  <c r="A249"/>
  <c r="E248"/>
  <c r="D248"/>
  <c r="C248"/>
  <c r="A248"/>
  <c r="E247"/>
  <c r="D247"/>
  <c r="C247"/>
  <c r="A247"/>
  <c r="E246"/>
  <c r="D246"/>
  <c r="C246"/>
  <c r="A246"/>
  <c r="E245"/>
  <c r="D245"/>
  <c r="C245"/>
  <c r="A245"/>
  <c r="E244"/>
  <c r="D244"/>
  <c r="C244"/>
  <c r="A244"/>
  <c r="E243"/>
  <c r="D243"/>
  <c r="C243"/>
  <c r="A243"/>
  <c r="E242"/>
  <c r="D242"/>
  <c r="C242"/>
  <c r="A242"/>
  <c r="E241"/>
  <c r="D241"/>
  <c r="C241"/>
  <c r="A241"/>
  <c r="E240"/>
  <c r="D240"/>
  <c r="C240"/>
  <c r="A240"/>
  <c r="E239"/>
  <c r="D239"/>
  <c r="C239"/>
  <c r="A239"/>
  <c r="E238"/>
  <c r="D238"/>
  <c r="C238"/>
  <c r="A238"/>
  <c r="E237"/>
  <c r="D237"/>
  <c r="C237"/>
  <c r="A237"/>
  <c r="E236"/>
  <c r="D236"/>
  <c r="C236"/>
  <c r="A236"/>
  <c r="E235"/>
  <c r="D235"/>
  <c r="C235"/>
  <c r="A235"/>
  <c r="E234"/>
  <c r="D234"/>
  <c r="C234"/>
  <c r="A234"/>
  <c r="E233"/>
  <c r="D233"/>
  <c r="C233"/>
  <c r="A233"/>
  <c r="E232"/>
  <c r="D232"/>
  <c r="C232"/>
  <c r="A232"/>
  <c r="E231"/>
  <c r="D231"/>
  <c r="C231"/>
  <c r="A231"/>
  <c r="E230"/>
  <c r="D230"/>
  <c r="C230"/>
  <c r="A230"/>
  <c r="E229"/>
  <c r="D229"/>
  <c r="C229"/>
  <c r="A229"/>
  <c r="E228"/>
  <c r="D228"/>
  <c r="C228"/>
  <c r="A228"/>
  <c r="E227"/>
  <c r="D227"/>
  <c r="C227"/>
  <c r="A227"/>
  <c r="E226"/>
  <c r="D226"/>
  <c r="C226"/>
  <c r="A226"/>
  <c r="E225"/>
  <c r="D225"/>
  <c r="C225"/>
  <c r="A225"/>
  <c r="E224"/>
  <c r="D224"/>
  <c r="C224"/>
  <c r="A224"/>
  <c r="E223"/>
  <c r="D223"/>
  <c r="C223"/>
  <c r="A223"/>
  <c r="E222"/>
  <c r="D222"/>
  <c r="C222"/>
  <c r="A222"/>
  <c r="E221"/>
  <c r="D221"/>
  <c r="C221"/>
  <c r="A221"/>
  <c r="E220"/>
  <c r="D220"/>
  <c r="A220"/>
  <c r="E219"/>
  <c r="D219"/>
  <c r="C219"/>
  <c r="A219"/>
  <c r="E218"/>
  <c r="D218"/>
  <c r="C218"/>
  <c r="A218"/>
  <c r="E217"/>
  <c r="D217"/>
  <c r="C217"/>
  <c r="A217"/>
  <c r="E216"/>
  <c r="D216"/>
  <c r="C216"/>
  <c r="A216"/>
  <c r="E215"/>
  <c r="D215"/>
  <c r="C215"/>
  <c r="A215"/>
  <c r="E214"/>
  <c r="D214"/>
  <c r="C214"/>
  <c r="A214"/>
  <c r="E213"/>
  <c r="D213"/>
  <c r="C213"/>
  <c r="A213"/>
  <c r="E212"/>
  <c r="D212"/>
  <c r="C212"/>
  <c r="A212"/>
  <c r="E211"/>
  <c r="D211"/>
  <c r="C211"/>
  <c r="A211"/>
  <c r="E210"/>
  <c r="D210"/>
  <c r="A210"/>
  <c r="E209"/>
  <c r="D209"/>
  <c r="A209"/>
  <c r="E208"/>
  <c r="D208"/>
  <c r="A208"/>
  <c r="E207"/>
  <c r="D207"/>
  <c r="C207"/>
  <c r="A207"/>
  <c r="E206"/>
  <c r="D206"/>
  <c r="C206"/>
  <c r="A206"/>
  <c r="E205"/>
  <c r="D205"/>
  <c r="C205"/>
  <c r="A205"/>
  <c r="E204"/>
  <c r="D204"/>
  <c r="C204"/>
  <c r="A204"/>
  <c r="E203"/>
  <c r="D203"/>
  <c r="C203"/>
  <c r="A203"/>
  <c r="E202"/>
  <c r="D202"/>
  <c r="C202"/>
  <c r="A202"/>
  <c r="E201"/>
  <c r="D201"/>
  <c r="C201"/>
  <c r="A201"/>
  <c r="E200"/>
  <c r="D200"/>
  <c r="C200"/>
  <c r="A200"/>
  <c r="E199"/>
  <c r="D199"/>
  <c r="C199"/>
  <c r="A199"/>
  <c r="E198"/>
  <c r="D198"/>
  <c r="C198"/>
  <c r="A198"/>
  <c r="E197"/>
  <c r="D197"/>
  <c r="C197"/>
  <c r="A197"/>
  <c r="E196"/>
  <c r="D196"/>
  <c r="C196"/>
  <c r="A196"/>
  <c r="E195"/>
  <c r="D195"/>
  <c r="C195"/>
  <c r="A195"/>
  <c r="E194"/>
  <c r="D194"/>
  <c r="C194"/>
  <c r="A194"/>
  <c r="E193"/>
  <c r="D193"/>
  <c r="C193"/>
  <c r="A193"/>
  <c r="E192"/>
  <c r="D192"/>
  <c r="C192"/>
  <c r="A192"/>
  <c r="E191"/>
  <c r="D191"/>
  <c r="C191"/>
  <c r="A191"/>
  <c r="E190"/>
  <c r="D190"/>
  <c r="C190"/>
  <c r="A190"/>
  <c r="E189"/>
  <c r="D189"/>
  <c r="C189"/>
  <c r="A189"/>
  <c r="E188"/>
  <c r="D188"/>
  <c r="C188"/>
  <c r="A188"/>
  <c r="E187"/>
  <c r="D187"/>
  <c r="C187"/>
  <c r="A187"/>
  <c r="E186"/>
  <c r="D186"/>
  <c r="C186"/>
  <c r="A186"/>
  <c r="E185"/>
  <c r="D185"/>
  <c r="C185"/>
  <c r="A185"/>
  <c r="E184"/>
  <c r="D184"/>
  <c r="C184"/>
  <c r="A184"/>
  <c r="E183"/>
  <c r="D183"/>
  <c r="C183"/>
  <c r="A183"/>
  <c r="E182"/>
  <c r="D182"/>
  <c r="C182"/>
  <c r="A182"/>
  <c r="E181"/>
  <c r="D181"/>
  <c r="C181"/>
  <c r="A181"/>
  <c r="E180"/>
  <c r="D180"/>
  <c r="C180"/>
  <c r="A180"/>
  <c r="E179"/>
  <c r="D179"/>
  <c r="C179"/>
  <c r="A179"/>
  <c r="E178"/>
  <c r="D178"/>
  <c r="C178"/>
  <c r="A178"/>
  <c r="E177"/>
  <c r="D177"/>
  <c r="C177"/>
  <c r="A177"/>
  <c r="E176"/>
  <c r="D176"/>
  <c r="C176"/>
  <c r="A176"/>
  <c r="E175"/>
  <c r="D175"/>
  <c r="C175"/>
  <c r="A175"/>
  <c r="E174"/>
  <c r="D174"/>
  <c r="C174"/>
  <c r="A174"/>
  <c r="E173"/>
  <c r="D173"/>
  <c r="C173"/>
  <c r="A173"/>
  <c r="E172"/>
  <c r="D172"/>
  <c r="C172"/>
  <c r="A172"/>
  <c r="E171"/>
  <c r="D171"/>
  <c r="C171"/>
  <c r="A171"/>
  <c r="E170"/>
  <c r="D170"/>
  <c r="C170"/>
  <c r="A170"/>
  <c r="E169"/>
  <c r="D169"/>
  <c r="C169"/>
  <c r="A169"/>
  <c r="E168"/>
  <c r="D168"/>
  <c r="C168"/>
  <c r="A168"/>
  <c r="E167"/>
  <c r="D167"/>
  <c r="C167"/>
  <c r="A167"/>
  <c r="E166"/>
  <c r="D166"/>
  <c r="C166"/>
  <c r="A166"/>
  <c r="E165"/>
  <c r="D165"/>
  <c r="C165"/>
  <c r="A165"/>
  <c r="E164"/>
  <c r="D164"/>
  <c r="C164"/>
  <c r="A164"/>
  <c r="E163"/>
  <c r="D163"/>
  <c r="C163"/>
  <c r="A163"/>
  <c r="E162"/>
  <c r="D162"/>
  <c r="C162"/>
  <c r="A162"/>
  <c r="E161"/>
  <c r="D161"/>
  <c r="C161"/>
  <c r="A161"/>
  <c r="E160"/>
  <c r="D160"/>
  <c r="C160"/>
  <c r="A160"/>
  <c r="E159"/>
  <c r="D159"/>
  <c r="C159"/>
  <c r="B159"/>
  <c r="A159"/>
  <c r="E158"/>
  <c r="D158"/>
  <c r="C158"/>
  <c r="A158"/>
  <c r="E157"/>
  <c r="D157"/>
  <c r="C157"/>
  <c r="B157"/>
  <c r="A157"/>
  <c r="E156"/>
  <c r="D156"/>
  <c r="A156"/>
  <c r="E155"/>
  <c r="D155"/>
  <c r="B155"/>
  <c r="A155"/>
  <c r="E154"/>
  <c r="D154"/>
  <c r="C154"/>
  <c r="A154"/>
  <c r="E153"/>
  <c r="D153"/>
  <c r="B153"/>
  <c r="A153"/>
  <c r="E152"/>
  <c r="D152"/>
  <c r="B152"/>
  <c r="A152"/>
  <c r="E151"/>
  <c r="D151"/>
  <c r="C151"/>
  <c r="A151"/>
  <c r="E150"/>
  <c r="D150"/>
  <c r="C150"/>
  <c r="A150"/>
  <c r="E149"/>
  <c r="D149"/>
  <c r="C149"/>
  <c r="A149"/>
  <c r="E148"/>
  <c r="D148"/>
  <c r="C148"/>
  <c r="A148"/>
  <c r="E147"/>
  <c r="D147"/>
  <c r="C147"/>
  <c r="A147"/>
  <c r="E146"/>
  <c r="D146"/>
  <c r="C146"/>
  <c r="A146"/>
  <c r="E145"/>
  <c r="D145"/>
  <c r="C145"/>
  <c r="A145"/>
  <c r="E144"/>
  <c r="D144"/>
  <c r="C144"/>
  <c r="A144"/>
  <c r="E143"/>
  <c r="D143"/>
  <c r="C143"/>
  <c r="B143"/>
  <c r="A143"/>
  <c r="E142"/>
  <c r="D142"/>
  <c r="C142"/>
  <c r="A142"/>
  <c r="E141"/>
  <c r="D141"/>
  <c r="C141"/>
  <c r="A141"/>
  <c r="E140"/>
  <c r="D140"/>
  <c r="C140"/>
  <c r="A140"/>
  <c r="E139"/>
  <c r="D139"/>
  <c r="C139"/>
  <c r="A139"/>
  <c r="E138"/>
  <c r="D138"/>
  <c r="C138"/>
  <c r="A138"/>
  <c r="E137"/>
  <c r="D137"/>
  <c r="C137"/>
  <c r="A137"/>
  <c r="E136"/>
  <c r="D136"/>
  <c r="C136"/>
  <c r="A136"/>
  <c r="E135"/>
  <c r="D135"/>
  <c r="C135"/>
  <c r="A135"/>
  <c r="E134"/>
  <c r="D134"/>
  <c r="C134"/>
  <c r="A134"/>
  <c r="E133"/>
  <c r="D133"/>
  <c r="C133"/>
  <c r="A133"/>
  <c r="E132"/>
  <c r="D132"/>
  <c r="C132"/>
  <c r="A132"/>
  <c r="E131"/>
  <c r="D131"/>
  <c r="C131"/>
  <c r="A131"/>
  <c r="E130"/>
  <c r="D130"/>
  <c r="C130"/>
  <c r="A130"/>
  <c r="E129"/>
  <c r="D129"/>
  <c r="C129"/>
  <c r="A129"/>
  <c r="E128"/>
  <c r="D128"/>
  <c r="C128"/>
  <c r="A128"/>
  <c r="E127"/>
  <c r="D127"/>
  <c r="C127"/>
  <c r="A127"/>
  <c r="E126"/>
  <c r="D126"/>
  <c r="C126"/>
  <c r="A126"/>
  <c r="E125"/>
  <c r="D125"/>
  <c r="C125"/>
  <c r="A125"/>
  <c r="E124"/>
  <c r="D124"/>
  <c r="C124"/>
  <c r="A124"/>
  <c r="E123"/>
  <c r="D123"/>
  <c r="C123"/>
  <c r="A123"/>
  <c r="E122"/>
  <c r="D122"/>
  <c r="C122"/>
  <c r="A122"/>
  <c r="E121"/>
  <c r="D121"/>
  <c r="C121"/>
  <c r="A121"/>
  <c r="E120"/>
  <c r="D120"/>
  <c r="C120"/>
  <c r="A120"/>
  <c r="E119"/>
  <c r="D119"/>
  <c r="C119"/>
  <c r="A119"/>
  <c r="E118"/>
  <c r="D118"/>
  <c r="C118"/>
  <c r="A118"/>
  <c r="E117"/>
  <c r="D117"/>
  <c r="C117"/>
  <c r="A117"/>
  <c r="E116"/>
  <c r="D116"/>
  <c r="C116"/>
  <c r="A116"/>
  <c r="E115"/>
  <c r="D115"/>
  <c r="C115"/>
  <c r="A115"/>
  <c r="E114"/>
  <c r="D114"/>
  <c r="C114"/>
  <c r="A114"/>
  <c r="E113"/>
  <c r="D113"/>
  <c r="C113"/>
  <c r="A113"/>
  <c r="E112"/>
  <c r="D112"/>
  <c r="C112"/>
  <c r="A112"/>
  <c r="E111"/>
  <c r="D111"/>
  <c r="A111"/>
  <c r="E110"/>
  <c r="D110"/>
  <c r="A110"/>
  <c r="E109"/>
  <c r="D109"/>
  <c r="C109"/>
  <c r="A109"/>
  <c r="E108"/>
  <c r="D108"/>
  <c r="C108"/>
  <c r="A108"/>
  <c r="E107"/>
  <c r="D107"/>
  <c r="C107"/>
  <c r="A107"/>
  <c r="E106"/>
  <c r="D106"/>
  <c r="C106"/>
  <c r="A106"/>
  <c r="E105"/>
  <c r="D105"/>
  <c r="C105"/>
  <c r="A105"/>
  <c r="E104"/>
  <c r="D104"/>
  <c r="C104"/>
  <c r="A104"/>
  <c r="E103"/>
  <c r="D103"/>
  <c r="C103"/>
  <c r="A103"/>
  <c r="E102"/>
  <c r="D102"/>
  <c r="C102"/>
  <c r="A102"/>
  <c r="E101"/>
  <c r="D101"/>
  <c r="C101"/>
  <c r="A101"/>
  <c r="E100"/>
  <c r="D100"/>
  <c r="C100"/>
  <c r="A100"/>
  <c r="E99"/>
  <c r="D99"/>
  <c r="C99"/>
  <c r="A99"/>
  <c r="E98"/>
  <c r="D98"/>
  <c r="C98"/>
  <c r="A98"/>
  <c r="E97"/>
  <c r="D97"/>
  <c r="C97"/>
  <c r="A97"/>
  <c r="E96"/>
  <c r="D96"/>
  <c r="C96"/>
  <c r="A96"/>
  <c r="E95"/>
  <c r="D95"/>
  <c r="C95"/>
  <c r="A95"/>
  <c r="E94"/>
  <c r="D94"/>
  <c r="C94"/>
  <c r="A94"/>
  <c r="E93"/>
  <c r="D93"/>
  <c r="C93"/>
  <c r="A93"/>
  <c r="E92"/>
  <c r="D92"/>
  <c r="A92"/>
  <c r="E91"/>
  <c r="D91"/>
  <c r="C91"/>
  <c r="A91"/>
  <c r="E90"/>
  <c r="D90"/>
  <c r="C90"/>
  <c r="A90"/>
  <c r="E89"/>
  <c r="D89"/>
  <c r="C89"/>
  <c r="A89"/>
  <c r="E88"/>
  <c r="D88"/>
  <c r="C88"/>
  <c r="A88"/>
  <c r="E87"/>
  <c r="D87"/>
  <c r="C87"/>
  <c r="A87"/>
  <c r="E86"/>
  <c r="D86"/>
  <c r="C86"/>
  <c r="A86"/>
  <c r="E85"/>
  <c r="D85"/>
  <c r="C85"/>
  <c r="A85"/>
  <c r="E84"/>
  <c r="D84"/>
  <c r="C84"/>
  <c r="A84"/>
  <c r="E83"/>
  <c r="D83"/>
  <c r="C83"/>
  <c r="A83"/>
  <c r="E82"/>
  <c r="D82"/>
  <c r="C82"/>
  <c r="A82"/>
  <c r="E81"/>
  <c r="D81"/>
  <c r="A81"/>
  <c r="E80"/>
  <c r="D80"/>
  <c r="C80"/>
  <c r="A80"/>
  <c r="E79"/>
  <c r="D79"/>
  <c r="C79"/>
  <c r="A79"/>
  <c r="E78"/>
  <c r="D78"/>
  <c r="C78"/>
  <c r="A78"/>
  <c r="E77"/>
  <c r="D77"/>
  <c r="C77"/>
  <c r="A77"/>
  <c r="E76"/>
  <c r="D76"/>
  <c r="C76"/>
  <c r="A76"/>
  <c r="E75"/>
  <c r="D75"/>
  <c r="C75"/>
  <c r="A75"/>
  <c r="E74"/>
  <c r="D74"/>
  <c r="C74"/>
  <c r="A74"/>
  <c r="E73"/>
  <c r="D73"/>
  <c r="C73"/>
  <c r="A73"/>
  <c r="E72"/>
  <c r="D72"/>
  <c r="C72"/>
  <c r="A72"/>
  <c r="E71"/>
  <c r="D71"/>
  <c r="C71"/>
  <c r="A71"/>
  <c r="E70"/>
  <c r="D70"/>
  <c r="C70"/>
  <c r="A70"/>
  <c r="E69"/>
  <c r="D69"/>
  <c r="C69"/>
  <c r="A69"/>
  <c r="E68"/>
  <c r="D68"/>
  <c r="C68"/>
  <c r="A68"/>
  <c r="E67"/>
  <c r="D67"/>
  <c r="C67"/>
  <c r="A67"/>
  <c r="E66"/>
  <c r="D66"/>
  <c r="C66"/>
  <c r="A66"/>
  <c r="E65"/>
  <c r="D65"/>
  <c r="C65"/>
  <c r="A65"/>
  <c r="E64"/>
  <c r="D64"/>
  <c r="C64"/>
  <c r="A64"/>
  <c r="E63"/>
  <c r="D63"/>
  <c r="C63"/>
  <c r="A63"/>
  <c r="E62"/>
  <c r="D62"/>
  <c r="C62"/>
  <c r="A62"/>
  <c r="E61"/>
  <c r="D61"/>
  <c r="C61"/>
  <c r="A61"/>
  <c r="E60"/>
  <c r="D60"/>
  <c r="C60"/>
  <c r="A60"/>
  <c r="E59"/>
  <c r="D59"/>
  <c r="C59"/>
  <c r="A59"/>
  <c r="E58"/>
  <c r="D58"/>
  <c r="C58"/>
  <c r="A58"/>
  <c r="E57"/>
  <c r="D57"/>
  <c r="C57"/>
  <c r="A57"/>
  <c r="E56"/>
  <c r="D56"/>
  <c r="C56"/>
  <c r="A56"/>
  <c r="E55"/>
  <c r="D55"/>
  <c r="C55"/>
  <c r="A55"/>
  <c r="E54"/>
  <c r="D54"/>
  <c r="C54"/>
  <c r="A54"/>
  <c r="E53"/>
  <c r="D53"/>
  <c r="C53"/>
  <c r="A53"/>
  <c r="E52"/>
  <c r="D52"/>
  <c r="C52"/>
  <c r="A52"/>
  <c r="E51"/>
  <c r="D51"/>
  <c r="C51"/>
  <c r="A51"/>
  <c r="E50"/>
  <c r="D50"/>
  <c r="C50"/>
  <c r="A50"/>
  <c r="E49"/>
  <c r="D49"/>
  <c r="B49"/>
  <c r="A49"/>
  <c r="E48"/>
  <c r="D48"/>
  <c r="C48"/>
  <c r="A48"/>
  <c r="E47"/>
  <c r="D47"/>
  <c r="C47"/>
  <c r="A47"/>
  <c r="E46"/>
  <c r="D46"/>
  <c r="C46"/>
  <c r="A46"/>
  <c r="E45"/>
  <c r="D45"/>
  <c r="A45"/>
  <c r="E44"/>
  <c r="D44"/>
  <c r="A44"/>
  <c r="E43"/>
  <c r="D43"/>
  <c r="A43"/>
  <c r="E42"/>
  <c r="D42"/>
  <c r="C42"/>
  <c r="A42"/>
  <c r="E41"/>
  <c r="D41"/>
  <c r="C41"/>
  <c r="A41"/>
  <c r="E40"/>
  <c r="D40"/>
  <c r="C40"/>
  <c r="A40"/>
  <c r="E39"/>
  <c r="D39"/>
  <c r="C39"/>
  <c r="A39"/>
  <c r="E38"/>
  <c r="D38"/>
  <c r="C38"/>
  <c r="A38"/>
  <c r="E37"/>
  <c r="D37"/>
  <c r="C37"/>
  <c r="A37"/>
  <c r="E36"/>
  <c r="D36"/>
  <c r="C36"/>
  <c r="A36"/>
  <c r="E35"/>
  <c r="D35"/>
  <c r="C35"/>
  <c r="A35"/>
  <c r="E34"/>
  <c r="D34"/>
  <c r="C34"/>
  <c r="A34"/>
  <c r="E33"/>
  <c r="D33"/>
  <c r="C33"/>
  <c r="A33"/>
  <c r="E32"/>
  <c r="D32"/>
  <c r="C32"/>
  <c r="A32"/>
  <c r="E31"/>
  <c r="D31"/>
  <c r="C31"/>
  <c r="A31"/>
  <c r="E30"/>
  <c r="D30"/>
  <c r="C30"/>
  <c r="A30"/>
  <c r="E29"/>
  <c r="D29"/>
  <c r="C29"/>
  <c r="A29"/>
  <c r="E28"/>
  <c r="D28"/>
  <c r="C28"/>
  <c r="A28"/>
  <c r="E27"/>
  <c r="D27"/>
  <c r="C27"/>
  <c r="A27"/>
  <c r="E26"/>
  <c r="D26"/>
  <c r="C26"/>
  <c r="A26"/>
  <c r="E25"/>
  <c r="D25"/>
  <c r="C25"/>
  <c r="A25"/>
  <c r="E24"/>
  <c r="D24"/>
  <c r="C24"/>
  <c r="A24"/>
  <c r="E23"/>
  <c r="D23"/>
  <c r="C23"/>
  <c r="A23"/>
  <c r="E22"/>
  <c r="D22"/>
  <c r="C22"/>
  <c r="A22"/>
  <c r="E21"/>
  <c r="D21"/>
  <c r="C21"/>
  <c r="A21"/>
  <c r="E20"/>
  <c r="D20"/>
  <c r="C20"/>
  <c r="A20"/>
  <c r="E19"/>
  <c r="D19"/>
  <c r="C19"/>
  <c r="A19"/>
  <c r="E18"/>
  <c r="D18"/>
  <c r="C18"/>
  <c r="A18"/>
  <c r="E17"/>
  <c r="D17"/>
  <c r="C17"/>
  <c r="A17"/>
  <c r="E16"/>
  <c r="D16"/>
  <c r="C16"/>
  <c r="A16"/>
  <c r="E15"/>
  <c r="D15"/>
  <c r="C15"/>
  <c r="A15"/>
  <c r="E14"/>
  <c r="D14"/>
  <c r="C14"/>
  <c r="A14"/>
  <c r="E13"/>
  <c r="D13"/>
  <c r="C13"/>
  <c r="A13"/>
  <c r="E12"/>
  <c r="D12"/>
  <c r="C12"/>
  <c r="A12"/>
  <c r="E11"/>
  <c r="D11"/>
  <c r="C11"/>
  <c r="A11"/>
  <c r="E10"/>
  <c r="D10"/>
  <c r="C10"/>
  <c r="A10"/>
  <c r="E9"/>
  <c r="D9"/>
  <c r="C9"/>
  <c r="A9"/>
  <c r="E8"/>
  <c r="D8"/>
  <c r="C8"/>
  <c r="A8"/>
  <c r="E7"/>
  <c r="D7"/>
  <c r="C7"/>
  <c r="A7"/>
  <c r="E6"/>
  <c r="D6"/>
  <c r="C6"/>
  <c r="A6"/>
  <c r="E5"/>
  <c r="D5"/>
  <c r="C5"/>
  <c r="A5"/>
  <c r="E4"/>
  <c r="D4"/>
  <c r="C4"/>
  <c r="A4"/>
  <c r="E3"/>
  <c r="D3"/>
  <c r="C3"/>
  <c r="A3"/>
  <c r="E2"/>
  <c r="D2"/>
  <c r="C2"/>
  <c r="A2"/>
</calcChain>
</file>

<file path=xl/sharedStrings.xml><?xml version="1.0" encoding="utf-8"?>
<sst xmlns="http://schemas.openxmlformats.org/spreadsheetml/2006/main" count="5" uniqueCount="5">
  <si>
    <t>项目名称</t>
  </si>
  <si>
    <t>单价</t>
  </si>
  <si>
    <t>规格</t>
  </si>
  <si>
    <t>单位</t>
  </si>
  <si>
    <t>核算科目</t>
  </si>
</sst>
</file>

<file path=xl/styles.xml><?xml version="1.0" encoding="utf-8"?>
<styleSheet xmlns="http://schemas.openxmlformats.org/spreadsheetml/2006/main">
  <fonts count="2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3/relationships/customStorage" Target="customStorage/customStorage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939"/>
  <sheetViews>
    <sheetView tabSelected="1" topLeftCell="A520" workbookViewId="0">
      <selection activeCell="A543" sqref="A543"/>
    </sheetView>
  </sheetViews>
  <sheetFormatPr defaultColWidth="9.875" defaultRowHeight="13.5"/>
  <cols>
    <col min="1" max="1" width="35.375" style="1" customWidth="1"/>
    <col min="2" max="16384" width="9.875" style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1" t="str">
        <f>"中药贴敷"</f>
        <v>中药贴敷</v>
      </c>
      <c r="B2" s="1">
        <v>53</v>
      </c>
      <c r="C2" s="1" t="str">
        <f t="shared" ref="C2:C25" si="0">"次"</f>
        <v>次</v>
      </c>
      <c r="D2" s="1" t="str">
        <f t="shared" ref="D2:D20" si="1">"次"</f>
        <v>次</v>
      </c>
      <c r="E2" s="1" t="str">
        <f t="shared" ref="E2:E25" si="2">"治疗费"</f>
        <v>治疗费</v>
      </c>
    </row>
    <row r="3" spans="1:5">
      <c r="A3" s="1" t="str">
        <f>"中药涂擦"</f>
        <v>中药涂擦</v>
      </c>
      <c r="B3" s="1">
        <v>15</v>
      </c>
      <c r="C3" s="1" t="str">
        <f t="shared" si="0"/>
        <v>次</v>
      </c>
      <c r="D3" s="1" t="str">
        <f t="shared" si="1"/>
        <v>次</v>
      </c>
      <c r="E3" s="1" t="str">
        <f t="shared" si="2"/>
        <v>治疗费</v>
      </c>
    </row>
    <row r="4" spans="1:5">
      <c r="A4" s="1" t="str">
        <f>"中医熏洗"</f>
        <v>中医熏洗</v>
      </c>
      <c r="B4" s="1">
        <v>43</v>
      </c>
      <c r="C4" s="1" t="str">
        <f t="shared" si="0"/>
        <v>次</v>
      </c>
      <c r="D4" s="1" t="str">
        <f t="shared" si="1"/>
        <v>次</v>
      </c>
      <c r="E4" s="1" t="str">
        <f t="shared" si="2"/>
        <v>治疗费</v>
      </c>
    </row>
    <row r="5" spans="1:5">
      <c r="A5" s="1" t="str">
        <f>"中医穴位放血治疗"</f>
        <v>中医穴位放血治疗</v>
      </c>
      <c r="B5" s="1">
        <v>56</v>
      </c>
      <c r="C5" s="1" t="str">
        <f t="shared" si="0"/>
        <v>次</v>
      </c>
      <c r="D5" s="1" t="str">
        <f t="shared" si="1"/>
        <v>次</v>
      </c>
      <c r="E5" s="1" t="str">
        <f t="shared" si="2"/>
        <v>治疗费</v>
      </c>
    </row>
    <row r="6" spans="1:5">
      <c r="A6" s="1" t="str">
        <f>"中医穴位放血治疗-甲床放血（加收）"</f>
        <v>中医穴位放血治疗-甲床放血（加收）</v>
      </c>
      <c r="B6" s="1">
        <v>5.6</v>
      </c>
      <c r="C6" s="1" t="str">
        <f t="shared" si="0"/>
        <v>次</v>
      </c>
      <c r="D6" s="1" t="str">
        <f>"每甲"</f>
        <v>每甲</v>
      </c>
      <c r="E6" s="1" t="str">
        <f t="shared" si="2"/>
        <v>治疗费</v>
      </c>
    </row>
    <row r="7" spans="1:5">
      <c r="A7" s="1" t="str">
        <f>"中医穴位放血治疗-刺络放血（加收）"</f>
        <v>中医穴位放血治疗-刺络放血（加收）</v>
      </c>
      <c r="B7" s="1">
        <v>5.6</v>
      </c>
      <c r="C7" s="1" t="str">
        <f t="shared" si="0"/>
        <v>次</v>
      </c>
      <c r="D7" s="1" t="str">
        <f t="shared" si="1"/>
        <v>次</v>
      </c>
      <c r="E7" s="1" t="str">
        <f t="shared" si="2"/>
        <v>治疗费</v>
      </c>
    </row>
    <row r="8" spans="1:5">
      <c r="A8" s="1" t="str">
        <f>"中医刮痧"</f>
        <v>中医刮痧</v>
      </c>
      <c r="B8" s="1">
        <v>79</v>
      </c>
      <c r="C8" s="1" t="str">
        <f t="shared" si="0"/>
        <v>次</v>
      </c>
      <c r="D8" s="1" t="str">
        <f t="shared" si="1"/>
        <v>次</v>
      </c>
      <c r="E8" s="1" t="str">
        <f t="shared" si="2"/>
        <v>治疗费</v>
      </c>
    </row>
    <row r="9" spans="1:5">
      <c r="A9" s="1" t="str">
        <f>"悬空灸"</f>
        <v>悬空灸</v>
      </c>
      <c r="B9" s="1">
        <v>46</v>
      </c>
      <c r="C9" s="1" t="str">
        <f t="shared" si="0"/>
        <v>次</v>
      </c>
      <c r="D9" s="1" t="str">
        <f t="shared" si="1"/>
        <v>次</v>
      </c>
      <c r="E9" s="1" t="str">
        <f t="shared" si="2"/>
        <v>治疗费</v>
      </c>
    </row>
    <row r="10" spans="1:5">
      <c r="A10" s="1" t="str">
        <f>"悬空灸-雷火灸（太乙神针）（扩展）"</f>
        <v>悬空灸-雷火灸（太乙神针）（扩展）</v>
      </c>
      <c r="B10" s="1">
        <v>46</v>
      </c>
      <c r="C10" s="1" t="str">
        <f t="shared" si="0"/>
        <v>次</v>
      </c>
      <c r="D10" s="1" t="str">
        <f t="shared" si="1"/>
        <v>次</v>
      </c>
      <c r="E10" s="1" t="str">
        <f t="shared" si="2"/>
        <v>治疗费</v>
      </c>
    </row>
    <row r="11" spans="1:5">
      <c r="A11" s="1" t="str">
        <f>"直接灸"</f>
        <v>直接灸</v>
      </c>
      <c r="B11" s="1">
        <v>19</v>
      </c>
      <c r="C11" s="1" t="str">
        <f t="shared" si="0"/>
        <v>次</v>
      </c>
      <c r="D11" s="1" t="str">
        <f t="shared" si="1"/>
        <v>次</v>
      </c>
      <c r="E11" s="1" t="str">
        <f t="shared" si="2"/>
        <v>治疗费</v>
      </c>
    </row>
    <row r="12" spans="1:5">
      <c r="A12" s="1" t="str">
        <f>"隔物灸"</f>
        <v>隔物灸</v>
      </c>
      <c r="B12" s="1">
        <v>24</v>
      </c>
      <c r="C12" s="1" t="str">
        <f t="shared" si="0"/>
        <v>次</v>
      </c>
      <c r="D12" s="1" t="str">
        <f t="shared" si="1"/>
        <v>次</v>
      </c>
      <c r="E12" s="1" t="str">
        <f t="shared" si="2"/>
        <v>治疗费</v>
      </c>
    </row>
    <row r="13" spans="1:5">
      <c r="A13" s="1" t="str">
        <f>"铺灸"</f>
        <v>铺灸</v>
      </c>
      <c r="B13" s="1">
        <v>120</v>
      </c>
      <c r="C13" s="1" t="str">
        <f t="shared" si="0"/>
        <v>次</v>
      </c>
      <c r="D13" s="1" t="str">
        <f t="shared" si="1"/>
        <v>次</v>
      </c>
      <c r="E13" s="1" t="str">
        <f t="shared" si="2"/>
        <v>治疗费</v>
      </c>
    </row>
    <row r="14" spans="1:5">
      <c r="A14" s="1" t="str">
        <f>"铺灸-（督灸（火龙灸））加收"</f>
        <v>铺灸-（督灸（火龙灸））加收</v>
      </c>
      <c r="B14" s="1">
        <v>24</v>
      </c>
      <c r="C14" s="1" t="str">
        <f t="shared" si="0"/>
        <v>次</v>
      </c>
      <c r="D14" s="1" t="str">
        <f t="shared" si="1"/>
        <v>次</v>
      </c>
      <c r="E14" s="1" t="str">
        <f t="shared" si="2"/>
        <v>治疗费</v>
      </c>
    </row>
    <row r="15" spans="1:5">
      <c r="A15" s="1" t="str">
        <f>"中医拔罐"</f>
        <v>中医拔罐</v>
      </c>
      <c r="B15" s="1">
        <v>42</v>
      </c>
      <c r="C15" s="1" t="str">
        <f t="shared" si="0"/>
        <v>次</v>
      </c>
      <c r="D15" s="1" t="str">
        <f t="shared" si="1"/>
        <v>次</v>
      </c>
      <c r="E15" s="1" t="str">
        <f t="shared" si="2"/>
        <v>治疗费</v>
      </c>
    </row>
    <row r="16" spans="1:5">
      <c r="A16" s="1" t="str">
        <f>"中医走罐"</f>
        <v>中医走罐</v>
      </c>
      <c r="B16" s="1">
        <v>30</v>
      </c>
      <c r="C16" s="1" t="str">
        <f t="shared" si="0"/>
        <v>次</v>
      </c>
      <c r="D16" s="1" t="str">
        <f t="shared" si="1"/>
        <v>次</v>
      </c>
      <c r="E16" s="1" t="str">
        <f t="shared" si="2"/>
        <v>治疗费</v>
      </c>
    </row>
    <row r="17" spans="1:5">
      <c r="A17" s="1" t="str">
        <f>"中医闪罐"</f>
        <v>中医闪罐</v>
      </c>
      <c r="B17" s="1">
        <v>63</v>
      </c>
      <c r="C17" s="1" t="str">
        <f t="shared" si="0"/>
        <v>次</v>
      </c>
      <c r="D17" s="1" t="str">
        <f t="shared" si="1"/>
        <v>次</v>
      </c>
      <c r="E17" s="1" t="str">
        <f t="shared" si="2"/>
        <v>治疗费</v>
      </c>
    </row>
    <row r="18" spans="1:5">
      <c r="A18" s="1" t="str">
        <f>"头面部疾病推拿"</f>
        <v>头面部疾病推拿</v>
      </c>
      <c r="B18" s="1">
        <v>55</v>
      </c>
      <c r="C18" s="1" t="str">
        <f t="shared" si="0"/>
        <v>次</v>
      </c>
      <c r="D18" s="1" t="str">
        <f t="shared" si="1"/>
        <v>次</v>
      </c>
      <c r="E18" s="1" t="str">
        <f t="shared" si="2"/>
        <v>治疗费</v>
      </c>
    </row>
    <row r="19" spans="1:5">
      <c r="A19" s="1" t="str">
        <f>"颈部疾病推拿"</f>
        <v>颈部疾病推拿</v>
      </c>
      <c r="B19" s="1">
        <v>54</v>
      </c>
      <c r="C19" s="1" t="str">
        <f t="shared" si="0"/>
        <v>次</v>
      </c>
      <c r="D19" s="1" t="str">
        <f t="shared" si="1"/>
        <v>次</v>
      </c>
      <c r="E19" s="1" t="str">
        <f t="shared" si="2"/>
        <v>治疗费</v>
      </c>
    </row>
    <row r="20" spans="1:5">
      <c r="A20" s="1" t="str">
        <f>"脊柱部位疾病推拿"</f>
        <v>脊柱部位疾病推拿</v>
      </c>
      <c r="B20" s="1">
        <v>42</v>
      </c>
      <c r="C20" s="1" t="str">
        <f t="shared" si="0"/>
        <v>次</v>
      </c>
      <c r="D20" s="1" t="str">
        <f t="shared" si="1"/>
        <v>次</v>
      </c>
      <c r="E20" s="1" t="str">
        <f t="shared" si="2"/>
        <v>治疗费</v>
      </c>
    </row>
    <row r="21" spans="1:5">
      <c r="A21" s="1" t="str">
        <f>"肩部疾病推拿"</f>
        <v>肩部疾病推拿</v>
      </c>
      <c r="B21" s="1">
        <v>42</v>
      </c>
      <c r="C21" s="1" t="str">
        <f t="shared" si="0"/>
        <v>次</v>
      </c>
      <c r="D21" s="1" t="str">
        <f>"单侧"</f>
        <v>单侧</v>
      </c>
      <c r="E21" s="1" t="str">
        <f t="shared" si="2"/>
        <v>治疗费</v>
      </c>
    </row>
    <row r="22" spans="1:5">
      <c r="A22" s="1" t="str">
        <f>"背部疾病推拿"</f>
        <v>背部疾病推拿</v>
      </c>
      <c r="B22" s="1">
        <v>81</v>
      </c>
      <c r="C22" s="1" t="str">
        <f t="shared" si="0"/>
        <v>次</v>
      </c>
      <c r="D22" s="1" t="str">
        <f t="shared" ref="D22:D24" si="3">"次"</f>
        <v>次</v>
      </c>
      <c r="E22" s="1" t="str">
        <f t="shared" si="2"/>
        <v>治疗费</v>
      </c>
    </row>
    <row r="23" spans="1:5">
      <c r="A23" s="1" t="str">
        <f>"腰部疾病推拿"</f>
        <v>腰部疾病推拿</v>
      </c>
      <c r="B23" s="1">
        <v>81</v>
      </c>
      <c r="C23" s="1" t="str">
        <f t="shared" si="0"/>
        <v>次</v>
      </c>
      <c r="D23" s="1" t="str">
        <f t="shared" si="3"/>
        <v>次</v>
      </c>
      <c r="E23" s="1" t="str">
        <f t="shared" si="2"/>
        <v>治疗费</v>
      </c>
    </row>
    <row r="24" spans="1:5">
      <c r="A24" s="1" t="str">
        <f>"髋骶部疾病推拿"</f>
        <v>髋骶部疾病推拿</v>
      </c>
      <c r="B24" s="1">
        <v>81</v>
      </c>
      <c r="C24" s="1" t="str">
        <f t="shared" si="0"/>
        <v>次</v>
      </c>
      <c r="D24" s="1" t="str">
        <f t="shared" si="3"/>
        <v>次</v>
      </c>
      <c r="E24" s="1" t="str">
        <f t="shared" si="2"/>
        <v>治疗费</v>
      </c>
    </row>
    <row r="25" spans="1:5">
      <c r="A25" s="1" t="str">
        <f>"四肢部位疾病推拿"</f>
        <v>四肢部位疾病推拿</v>
      </c>
      <c r="B25" s="1">
        <v>42</v>
      </c>
      <c r="C25" s="1" t="str">
        <f t="shared" si="0"/>
        <v>次</v>
      </c>
      <c r="D25" s="1" t="str">
        <f>"单肢"</f>
        <v>单肢</v>
      </c>
      <c r="E25" s="1" t="str">
        <f t="shared" si="2"/>
        <v>治疗费</v>
      </c>
    </row>
    <row r="26" spans="1:5">
      <c r="A26" s="1" t="str">
        <f>"方便门诊费"</f>
        <v>方便门诊费</v>
      </c>
      <c r="B26" s="1">
        <v>1</v>
      </c>
      <c r="C26" s="1" t="str">
        <f t="shared" ref="C26:C29" si="4">"次"</f>
        <v>次</v>
      </c>
      <c r="D26" s="1" t="str">
        <f>"每次"</f>
        <v>每次</v>
      </c>
      <c r="E26" s="1" t="str">
        <f>"诊查费"</f>
        <v>诊查费</v>
      </c>
    </row>
    <row r="27" spans="1:5">
      <c r="A27" s="1" t="str">
        <f>"药学门诊诊察费"</f>
        <v>药学门诊诊察费</v>
      </c>
      <c r="B27" s="1">
        <v>10</v>
      </c>
      <c r="C27" s="1" t="str">
        <f t="shared" si="4"/>
        <v>次</v>
      </c>
      <c r="D27" s="1" t="str">
        <f t="shared" ref="D27:D31" si="5">"次"</f>
        <v>次</v>
      </c>
      <c r="E27" s="1" t="str">
        <f>"诊查费"</f>
        <v>诊查费</v>
      </c>
    </row>
    <row r="28" spans="1:5">
      <c r="A28" s="1" t="str">
        <f>"急诊监护费"</f>
        <v>急诊监护费</v>
      </c>
      <c r="B28" s="1">
        <v>130</v>
      </c>
      <c r="C28" s="1" t="str">
        <f>"日"</f>
        <v>日</v>
      </c>
      <c r="D28" s="1" t="str">
        <f>"日"</f>
        <v>日</v>
      </c>
      <c r="E28" s="1" t="str">
        <f>"监护费"</f>
        <v>监护费</v>
      </c>
    </row>
    <row r="29" spans="1:5">
      <c r="A29" s="1" t="str">
        <f>"院前急救费"</f>
        <v>院前急救费</v>
      </c>
      <c r="B29" s="1">
        <v>46</v>
      </c>
      <c r="C29" s="1" t="str">
        <f t="shared" si="4"/>
        <v>次</v>
      </c>
      <c r="D29" s="1" t="str">
        <f t="shared" si="5"/>
        <v>次</v>
      </c>
      <c r="E29" s="1" t="str">
        <f>"治疗费"</f>
        <v>治疗费</v>
      </c>
    </row>
    <row r="30" spans="1:5">
      <c r="A30" s="1" t="str">
        <f>"体检费"</f>
        <v>体检费</v>
      </c>
      <c r="B30" s="1">
        <v>15</v>
      </c>
      <c r="C30" s="1" t="str">
        <f>"项"</f>
        <v>项</v>
      </c>
      <c r="D30" s="1" t="str">
        <f>"每次"</f>
        <v>每次</v>
      </c>
      <c r="E30" s="1" t="str">
        <f>"体检费"</f>
        <v>体检费</v>
      </c>
    </row>
    <row r="31" spans="1:5">
      <c r="A31" s="1" t="str">
        <f>"体检"</f>
        <v>体检</v>
      </c>
      <c r="B31" s="1">
        <v>150</v>
      </c>
      <c r="C31" s="1" t="str">
        <f>"次"</f>
        <v>次</v>
      </c>
      <c r="D31" s="1" t="str">
        <f t="shared" si="5"/>
        <v>次</v>
      </c>
      <c r="E31" s="1" t="str">
        <f>"体检费"</f>
        <v>体检费</v>
      </c>
    </row>
    <row r="32" spans="1:5">
      <c r="A32" s="1" t="str">
        <f>"急诊观察床位费"</f>
        <v>急诊观察床位费</v>
      </c>
      <c r="B32" s="1">
        <v>15</v>
      </c>
      <c r="C32" s="1" t="str">
        <f>"日"</f>
        <v>日</v>
      </c>
      <c r="D32" s="1" t="str">
        <f>"日"</f>
        <v>日</v>
      </c>
      <c r="E32" s="1" t="str">
        <f>"床位费"</f>
        <v>床位费</v>
      </c>
    </row>
    <row r="33" spans="1:5">
      <c r="A33" s="1" t="str">
        <f>"院际会诊费(本地)"</f>
        <v>院际会诊费(本地)</v>
      </c>
      <c r="B33" s="1">
        <v>130</v>
      </c>
      <c r="C33" s="1" t="str">
        <f>"项"</f>
        <v>项</v>
      </c>
      <c r="D33" s="1" t="str">
        <f>"次"</f>
        <v>次</v>
      </c>
      <c r="E33" s="1" t="str">
        <f>"会诊费"</f>
        <v>会诊费</v>
      </c>
    </row>
    <row r="34" spans="1:5">
      <c r="A34" s="1" t="str">
        <f>"院际会诊-外埠"</f>
        <v>院际会诊-外埠</v>
      </c>
      <c r="B34" s="1">
        <v>260</v>
      </c>
      <c r="C34" s="1" t="str">
        <f>"次"</f>
        <v>次</v>
      </c>
      <c r="D34" s="1" t="str">
        <f>"次"</f>
        <v>次</v>
      </c>
      <c r="E34" s="1" t="str">
        <f>"会诊费"</f>
        <v>会诊费</v>
      </c>
    </row>
    <row r="35" spans="1:5">
      <c r="A35" s="1" t="str">
        <f>"造瘘护理"</f>
        <v>造瘘护理</v>
      </c>
      <c r="B35" s="1">
        <v>8</v>
      </c>
      <c r="C35" s="1" t="str">
        <f>"次"</f>
        <v>次</v>
      </c>
      <c r="D35" s="1" t="str">
        <f>"次"</f>
        <v>次</v>
      </c>
      <c r="E35" s="1" t="str">
        <f>"一般护理费"</f>
        <v>一般护理费</v>
      </c>
    </row>
    <row r="36" spans="1:5">
      <c r="A36" s="1" t="str">
        <f>"动静脉置管护理"</f>
        <v>动静脉置管护理</v>
      </c>
      <c r="B36" s="1">
        <v>6.5</v>
      </c>
      <c r="C36" s="1" t="str">
        <f>"次"</f>
        <v>次</v>
      </c>
      <c r="D36" s="1" t="str">
        <f>"次"</f>
        <v>次</v>
      </c>
      <c r="E36" s="1" t="str">
        <f>"一般护理费"</f>
        <v>一般护理费</v>
      </c>
    </row>
    <row r="37" spans="1:5">
      <c r="A37" s="1" t="str">
        <f>"大抢救"</f>
        <v>大抢救</v>
      </c>
      <c r="B37" s="1">
        <v>130</v>
      </c>
      <c r="C37" s="1" t="str">
        <f t="shared" ref="C37:C39" si="6">"日"</f>
        <v>日</v>
      </c>
      <c r="D37" s="1" t="str">
        <f t="shared" ref="D37:D39" si="7">"日"</f>
        <v>日</v>
      </c>
      <c r="E37" s="1" t="str">
        <f t="shared" ref="E37:E39" si="8">"治疗费"</f>
        <v>治疗费</v>
      </c>
    </row>
    <row r="38" spans="1:5">
      <c r="A38" s="1" t="str">
        <f>"中抢救"</f>
        <v>中抢救</v>
      </c>
      <c r="B38" s="1">
        <v>65</v>
      </c>
      <c r="C38" s="1" t="str">
        <f t="shared" si="6"/>
        <v>日</v>
      </c>
      <c r="D38" s="1" t="str">
        <f t="shared" si="7"/>
        <v>日</v>
      </c>
      <c r="E38" s="1" t="str">
        <f t="shared" si="8"/>
        <v>治疗费</v>
      </c>
    </row>
    <row r="39" spans="1:5">
      <c r="A39" s="1" t="str">
        <f>"小抢救"</f>
        <v>小抢救</v>
      </c>
      <c r="B39" s="1">
        <v>39</v>
      </c>
      <c r="C39" s="1" t="str">
        <f t="shared" si="6"/>
        <v>日</v>
      </c>
      <c r="D39" s="1" t="str">
        <f t="shared" si="7"/>
        <v>日</v>
      </c>
      <c r="E39" s="1" t="str">
        <f t="shared" si="8"/>
        <v>治疗费</v>
      </c>
    </row>
    <row r="40" spans="1:5">
      <c r="A40" s="1" t="str">
        <f>"氧气吸入"</f>
        <v>氧气吸入</v>
      </c>
      <c r="B40" s="1">
        <v>4</v>
      </c>
      <c r="C40" s="1" t="str">
        <f>"次"</f>
        <v>次</v>
      </c>
      <c r="D40" s="1" t="str">
        <f>"小时"</f>
        <v>小时</v>
      </c>
      <c r="E40" s="1" t="str">
        <f>"输氧费"</f>
        <v>输氧费</v>
      </c>
    </row>
    <row r="41" spans="1:5">
      <c r="A41" s="1" t="str">
        <f>"氧气吸入（持续吸氧）"</f>
        <v>氧气吸入（持续吸氧）</v>
      </c>
      <c r="B41" s="1">
        <v>65</v>
      </c>
      <c r="C41" s="1" t="str">
        <f>"日"</f>
        <v>日</v>
      </c>
      <c r="D41" s="1" t="str">
        <f>"日"</f>
        <v>日</v>
      </c>
      <c r="E41" s="1" t="str">
        <f>"输氧费"</f>
        <v>输氧费</v>
      </c>
    </row>
    <row r="42" spans="1:5">
      <c r="A42" s="1" t="str">
        <f>"肌肉注射"</f>
        <v>肌肉注射</v>
      </c>
      <c r="B42" s="1">
        <v>4</v>
      </c>
      <c r="C42" s="1" t="str">
        <f>"次"</f>
        <v>次</v>
      </c>
      <c r="D42" s="1" t="str">
        <f>"次"</f>
        <v>次</v>
      </c>
      <c r="E42" s="1" t="str">
        <f>"其他护理费"</f>
        <v>其他护理费</v>
      </c>
    </row>
    <row r="43" spans="1:5">
      <c r="A43" s="1" t="str">
        <f>"皮内注射"</f>
        <v>皮内注射</v>
      </c>
      <c r="B43" s="1">
        <v>4</v>
      </c>
      <c r="C43" s="1">
        <v>1</v>
      </c>
      <c r="D43" s="1" t="str">
        <f>"次"</f>
        <v>次</v>
      </c>
      <c r="E43" s="1" t="str">
        <f>"其他护理费"</f>
        <v>其他护理费</v>
      </c>
    </row>
    <row r="44" spans="1:5">
      <c r="A44" s="1" t="str">
        <f>"皮下注射"</f>
        <v>皮下注射</v>
      </c>
      <c r="B44" s="1">
        <v>4</v>
      </c>
      <c r="C44" s="1">
        <v>1</v>
      </c>
      <c r="D44" s="1" t="str">
        <f>"次"</f>
        <v>次</v>
      </c>
      <c r="E44" s="1" t="str">
        <f>"其他护理费"</f>
        <v>其他护理费</v>
      </c>
    </row>
    <row r="45" spans="1:5">
      <c r="A45" s="1" t="str">
        <f>"静脉注射"</f>
        <v>静脉注射</v>
      </c>
      <c r="B45" s="1">
        <v>5</v>
      </c>
      <c r="C45" s="1">
        <v>1</v>
      </c>
      <c r="D45" s="1" t="str">
        <f>"每次"</f>
        <v>每次</v>
      </c>
      <c r="E45" s="1" t="str">
        <f>"一般护理费"</f>
        <v>一般护理费</v>
      </c>
    </row>
    <row r="46" spans="1:5">
      <c r="A46" s="1" t="str">
        <f>"心内注射"</f>
        <v>心内注射</v>
      </c>
      <c r="B46" s="1">
        <v>5.2</v>
      </c>
      <c r="C46" s="1" t="str">
        <f>"次"</f>
        <v>次</v>
      </c>
      <c r="D46" s="1" t="str">
        <f>"次"</f>
        <v>次</v>
      </c>
      <c r="E46" s="1" t="str">
        <f>"治疗费"</f>
        <v>治疗费</v>
      </c>
    </row>
    <row r="47" spans="1:5">
      <c r="A47" s="1" t="str">
        <f>"皮下输液"</f>
        <v>皮下输液</v>
      </c>
      <c r="B47" s="1">
        <v>2.6</v>
      </c>
      <c r="C47" s="1" t="str">
        <f>"组"</f>
        <v>组</v>
      </c>
      <c r="D47" s="1" t="str">
        <f>"组"</f>
        <v>组</v>
      </c>
      <c r="E47" s="1" t="str">
        <f>"治疗费"</f>
        <v>治疗费</v>
      </c>
    </row>
    <row r="48" spans="1:5">
      <c r="A48" s="1" t="str">
        <f>"静脉输液"</f>
        <v>静脉输液</v>
      </c>
      <c r="B48" s="1">
        <v>8</v>
      </c>
      <c r="C48" s="1" t="str">
        <f>"次"</f>
        <v>次</v>
      </c>
      <c r="D48" s="1" t="str">
        <f>"次"</f>
        <v>次</v>
      </c>
      <c r="E48" s="1" t="str">
        <f>"其他护理费"</f>
        <v>其他护理费</v>
      </c>
    </row>
    <row r="49" spans="1:5">
      <c r="A49" s="1" t="str">
        <f>"微量泵或输液泵加收"</f>
        <v>微量泵或输液泵加收</v>
      </c>
      <c r="B49" s="1" t="str">
        <f>"0.7"</f>
        <v>0.7</v>
      </c>
      <c r="C49" s="1">
        <v>1</v>
      </c>
      <c r="D49" s="1" t="str">
        <f>"小时"</f>
        <v>小时</v>
      </c>
      <c r="E49" s="1" t="str">
        <f>"其他护理费"</f>
        <v>其他护理费</v>
      </c>
    </row>
    <row r="50" spans="1:5">
      <c r="A50" s="1" t="str">
        <f>"静脉输液每瓶加收"</f>
        <v>静脉输液每瓶加收</v>
      </c>
      <c r="B50" s="1">
        <v>1.3</v>
      </c>
      <c r="C50" s="1" t="str">
        <f>"-"</f>
        <v>-</v>
      </c>
      <c r="D50" s="1" t="str">
        <f>"瓶"</f>
        <v>瓶</v>
      </c>
      <c r="E50" s="1" t="str">
        <f>"其他护理费"</f>
        <v>其他护理费</v>
      </c>
    </row>
    <row r="51" spans="1:5">
      <c r="A51" s="1" t="str">
        <f>"静脉高营养治疗"</f>
        <v>静脉高营养治疗</v>
      </c>
      <c r="B51" s="1">
        <v>6.5</v>
      </c>
      <c r="C51" s="1" t="str">
        <f t="shared" ref="C51:C59" si="9">"次"</f>
        <v>次</v>
      </c>
      <c r="D51" s="1" t="str">
        <f t="shared" ref="D51:D59" si="10">"次"</f>
        <v>次</v>
      </c>
      <c r="E51" s="1" t="str">
        <f t="shared" ref="E51:E53" si="11">"治疗费"</f>
        <v>治疗费</v>
      </c>
    </row>
    <row r="52" spans="1:5">
      <c r="A52" s="1" t="str">
        <f>"静脉穿刺置管术"</f>
        <v>静脉穿刺置管术</v>
      </c>
      <c r="B52" s="1">
        <v>13</v>
      </c>
      <c r="C52" s="1" t="str">
        <f t="shared" si="9"/>
        <v>次</v>
      </c>
      <c r="D52" s="1" t="str">
        <f t="shared" si="10"/>
        <v>次</v>
      </c>
      <c r="E52" s="1" t="str">
        <f t="shared" si="11"/>
        <v>治疗费</v>
      </c>
    </row>
    <row r="53" spans="1:5">
      <c r="A53" s="1" t="str">
        <f>"动脉穿刺置管术"</f>
        <v>动脉穿刺置管术</v>
      </c>
      <c r="B53" s="1">
        <v>52</v>
      </c>
      <c r="C53" s="1" t="str">
        <f t="shared" si="9"/>
        <v>次</v>
      </c>
      <c r="D53" s="1" t="str">
        <f t="shared" si="10"/>
        <v>次</v>
      </c>
      <c r="E53" s="1" t="str">
        <f t="shared" si="11"/>
        <v>治疗费</v>
      </c>
    </row>
    <row r="54" spans="1:5">
      <c r="A54" s="1" t="str">
        <f>"大清创缝合"</f>
        <v>大清创缝合</v>
      </c>
      <c r="B54" s="1">
        <v>170</v>
      </c>
      <c r="C54" s="1" t="str">
        <f t="shared" si="9"/>
        <v>次</v>
      </c>
      <c r="D54" s="1" t="str">
        <f t="shared" si="10"/>
        <v>次</v>
      </c>
      <c r="E54" s="1" t="str">
        <f t="shared" ref="E54:E59" si="12">"手术费"</f>
        <v>手术费</v>
      </c>
    </row>
    <row r="55" spans="1:5">
      <c r="A55" s="1" t="str">
        <f>"大清创"</f>
        <v>大清创</v>
      </c>
      <c r="B55" s="1">
        <v>70</v>
      </c>
      <c r="C55" s="1" t="str">
        <f t="shared" si="9"/>
        <v>次</v>
      </c>
      <c r="D55" s="1" t="str">
        <f t="shared" si="10"/>
        <v>次</v>
      </c>
      <c r="E55" s="1" t="str">
        <f>"治疗费"</f>
        <v>治疗费</v>
      </c>
    </row>
    <row r="56" spans="1:5">
      <c r="A56" s="1" t="str">
        <f>"中清创缝合"</f>
        <v>中清创缝合</v>
      </c>
      <c r="B56" s="1">
        <v>85</v>
      </c>
      <c r="C56" s="1" t="str">
        <f t="shared" si="9"/>
        <v>次</v>
      </c>
      <c r="D56" s="1" t="str">
        <f t="shared" si="10"/>
        <v>次</v>
      </c>
      <c r="E56" s="1" t="str">
        <f>"治疗费"</f>
        <v>治疗费</v>
      </c>
    </row>
    <row r="57" spans="1:5">
      <c r="A57" s="1" t="str">
        <f>"中清创"</f>
        <v>中清创</v>
      </c>
      <c r="B57" s="1">
        <v>60</v>
      </c>
      <c r="C57" s="1" t="str">
        <f t="shared" si="9"/>
        <v>次</v>
      </c>
      <c r="D57" s="1" t="str">
        <f t="shared" si="10"/>
        <v>次</v>
      </c>
      <c r="E57" s="1" t="str">
        <f t="shared" si="12"/>
        <v>手术费</v>
      </c>
    </row>
    <row r="58" spans="1:5">
      <c r="A58" s="1" t="str">
        <f>"小清创缝合"</f>
        <v>小清创缝合</v>
      </c>
      <c r="B58" s="1">
        <v>65</v>
      </c>
      <c r="C58" s="1" t="str">
        <f t="shared" si="9"/>
        <v>次</v>
      </c>
      <c r="D58" s="1" t="str">
        <f t="shared" si="10"/>
        <v>次</v>
      </c>
      <c r="E58" s="1" t="str">
        <f t="shared" si="12"/>
        <v>手术费</v>
      </c>
    </row>
    <row r="59" spans="1:5">
      <c r="A59" s="1" t="str">
        <f>"小清创"</f>
        <v>小清创</v>
      </c>
      <c r="B59" s="1">
        <v>35</v>
      </c>
      <c r="C59" s="1" t="str">
        <f t="shared" si="9"/>
        <v>次</v>
      </c>
      <c r="D59" s="1" t="str">
        <f t="shared" si="10"/>
        <v>次</v>
      </c>
      <c r="E59" s="1" t="str">
        <f t="shared" si="12"/>
        <v>手术费</v>
      </c>
    </row>
    <row r="60" spans="1:5">
      <c r="A60" s="1" t="str">
        <f>"特大换药"</f>
        <v>特大换药</v>
      </c>
      <c r="B60" s="1">
        <v>39</v>
      </c>
      <c r="C60" s="1" t="str">
        <f t="shared" ref="C60:C65" si="13">"次"</f>
        <v>次</v>
      </c>
      <c r="D60" s="1" t="str">
        <f t="shared" ref="D60:D65" si="14">"次"</f>
        <v>次</v>
      </c>
      <c r="E60" s="1" t="str">
        <f t="shared" ref="E60:E65" si="15">"治疗费"</f>
        <v>治疗费</v>
      </c>
    </row>
    <row r="61" spans="1:5">
      <c r="A61" s="1" t="str">
        <f>"大换药"</f>
        <v>大换药</v>
      </c>
      <c r="B61" s="1">
        <v>26</v>
      </c>
      <c r="C61" s="1" t="str">
        <f t="shared" si="13"/>
        <v>次</v>
      </c>
      <c r="D61" s="1" t="str">
        <f t="shared" si="14"/>
        <v>次</v>
      </c>
      <c r="E61" s="1" t="str">
        <f t="shared" si="15"/>
        <v>治疗费</v>
      </c>
    </row>
    <row r="62" spans="1:5">
      <c r="A62" s="1" t="str">
        <f>"中换药"</f>
        <v>中换药</v>
      </c>
      <c r="B62" s="1">
        <v>13</v>
      </c>
      <c r="C62" s="1" t="str">
        <f t="shared" si="13"/>
        <v>次</v>
      </c>
      <c r="D62" s="1" t="str">
        <f t="shared" si="14"/>
        <v>次</v>
      </c>
      <c r="E62" s="1" t="str">
        <f t="shared" si="15"/>
        <v>治疗费</v>
      </c>
    </row>
    <row r="63" spans="1:5">
      <c r="A63" s="1" t="str">
        <f>"小换药"</f>
        <v>小换药</v>
      </c>
      <c r="B63" s="1">
        <v>7</v>
      </c>
      <c r="C63" s="1" t="str">
        <f t="shared" si="13"/>
        <v>次</v>
      </c>
      <c r="D63" s="1" t="str">
        <f t="shared" si="14"/>
        <v>次</v>
      </c>
      <c r="E63" s="1" t="str">
        <f t="shared" si="15"/>
        <v>治疗费</v>
      </c>
    </row>
    <row r="64" spans="1:5">
      <c r="A64" s="1" t="str">
        <f>"雾化吸入"</f>
        <v>雾化吸入</v>
      </c>
      <c r="B64" s="1">
        <v>7</v>
      </c>
      <c r="C64" s="1" t="str">
        <f t="shared" si="13"/>
        <v>次</v>
      </c>
      <c r="D64" s="1" t="str">
        <f t="shared" si="14"/>
        <v>次</v>
      </c>
      <c r="E64" s="1" t="str">
        <f t="shared" si="15"/>
        <v>治疗费</v>
      </c>
    </row>
    <row r="65" spans="1:5">
      <c r="A65" s="1" t="str">
        <f>"雾化吸入（≤6周岁儿童）"</f>
        <v>雾化吸入（≤6周岁儿童）</v>
      </c>
      <c r="B65" s="1">
        <v>8.5</v>
      </c>
      <c r="C65" s="1" t="str">
        <f t="shared" si="13"/>
        <v>次</v>
      </c>
      <c r="D65" s="1" t="str">
        <f t="shared" si="14"/>
        <v>次</v>
      </c>
      <c r="E65" s="1" t="str">
        <f t="shared" si="15"/>
        <v>治疗费</v>
      </c>
    </row>
    <row r="66" spans="1:5">
      <c r="A66" s="1" t="str">
        <f>"鼻饲管置管"</f>
        <v>鼻饲管置管</v>
      </c>
      <c r="B66" s="1">
        <v>13</v>
      </c>
      <c r="C66" s="1" t="str">
        <f t="shared" ref="C66:D69" si="16">"次"</f>
        <v>次</v>
      </c>
      <c r="D66" s="1" t="str">
        <f t="shared" si="16"/>
        <v>次</v>
      </c>
      <c r="E66" s="1" t="str">
        <f>"治疗费"</f>
        <v>治疗费</v>
      </c>
    </row>
    <row r="67" spans="1:5">
      <c r="A67" s="1" t="str">
        <f>"鼻饲管置管注食、注药加收"</f>
        <v>鼻饲管置管注食、注药加收</v>
      </c>
      <c r="B67" s="1">
        <v>2.6</v>
      </c>
      <c r="C67" s="1" t="str">
        <f t="shared" si="16"/>
        <v>次</v>
      </c>
      <c r="D67" s="1" t="str">
        <f t="shared" si="16"/>
        <v>次</v>
      </c>
      <c r="E67" s="1" t="str">
        <f>"其他护理费"</f>
        <v>其他护理费</v>
      </c>
    </row>
    <row r="68" spans="1:5">
      <c r="A68" s="1" t="str">
        <f>"胃肠减压"</f>
        <v>胃肠减压</v>
      </c>
      <c r="B68" s="1">
        <v>20</v>
      </c>
      <c r="C68" s="1" t="str">
        <f t="shared" si="16"/>
        <v>次</v>
      </c>
      <c r="D68" s="1" t="str">
        <f t="shared" si="16"/>
        <v>次</v>
      </c>
      <c r="E68" s="1" t="str">
        <f>"治疗费"</f>
        <v>治疗费</v>
      </c>
    </row>
    <row r="69" spans="1:5">
      <c r="A69" s="1" t="str">
        <f>"洗胃"</f>
        <v>洗胃</v>
      </c>
      <c r="B69" s="1">
        <v>26</v>
      </c>
      <c r="C69" s="1" t="str">
        <f t="shared" si="16"/>
        <v>次</v>
      </c>
      <c r="D69" s="1" t="str">
        <f t="shared" si="16"/>
        <v>次</v>
      </c>
      <c r="E69" s="1" t="str">
        <f>"治疗费"</f>
        <v>治疗费</v>
      </c>
    </row>
    <row r="70" spans="1:5">
      <c r="A70" s="1" t="str">
        <f>"一般物理降温"</f>
        <v>一般物理降温</v>
      </c>
      <c r="B70" s="1">
        <v>2.6</v>
      </c>
      <c r="C70" s="1" t="str">
        <f t="shared" ref="C70:C74" si="17">"次"</f>
        <v>次</v>
      </c>
      <c r="D70" s="1" t="str">
        <f t="shared" ref="D70:D74" si="18">"次"</f>
        <v>次</v>
      </c>
      <c r="E70" s="1" t="str">
        <f t="shared" ref="E70:E74" si="19">"治疗费"</f>
        <v>治疗费</v>
      </c>
    </row>
    <row r="71" spans="1:5">
      <c r="A71" s="1" t="str">
        <f>"特殊物理降温"</f>
        <v>特殊物理降温</v>
      </c>
      <c r="B71" s="1">
        <v>6.5</v>
      </c>
      <c r="C71" s="1" t="str">
        <f t="shared" si="17"/>
        <v>次</v>
      </c>
      <c r="D71" s="1" t="str">
        <f t="shared" si="18"/>
        <v>次</v>
      </c>
      <c r="E71" s="1" t="str">
        <f t="shared" si="19"/>
        <v>治疗费</v>
      </c>
    </row>
    <row r="72" spans="1:5">
      <c r="A72" s="1" t="str">
        <f>"坐浴"</f>
        <v>坐浴</v>
      </c>
      <c r="B72" s="1">
        <v>3.9</v>
      </c>
      <c r="C72" s="1" t="str">
        <f t="shared" si="17"/>
        <v>次</v>
      </c>
      <c r="D72" s="1" t="str">
        <f t="shared" si="18"/>
        <v>次</v>
      </c>
      <c r="E72" s="1" t="str">
        <f t="shared" si="19"/>
        <v>治疗费</v>
      </c>
    </row>
    <row r="73" spans="1:5">
      <c r="A73" s="1" t="str">
        <f>"冷热湿敷"</f>
        <v>冷热湿敷</v>
      </c>
      <c r="B73" s="1">
        <v>3.9</v>
      </c>
      <c r="C73" s="1" t="str">
        <f t="shared" si="17"/>
        <v>次</v>
      </c>
      <c r="D73" s="1" t="str">
        <f t="shared" si="18"/>
        <v>次</v>
      </c>
      <c r="E73" s="1" t="str">
        <f t="shared" si="19"/>
        <v>治疗费</v>
      </c>
    </row>
    <row r="74" spans="1:5">
      <c r="A74" s="1" t="str">
        <f>"引流管冲洗"</f>
        <v>引流管冲洗</v>
      </c>
      <c r="B74" s="1">
        <v>1.3</v>
      </c>
      <c r="C74" s="1" t="str">
        <f t="shared" si="17"/>
        <v>次</v>
      </c>
      <c r="D74" s="1" t="str">
        <f t="shared" si="18"/>
        <v>次</v>
      </c>
      <c r="E74" s="1" t="str">
        <f t="shared" si="19"/>
        <v>治疗费</v>
      </c>
    </row>
    <row r="75" spans="1:5">
      <c r="A75" s="1" t="str">
        <f>"更换引流装置加收"</f>
        <v>更换引流装置加收</v>
      </c>
      <c r="B75" s="1">
        <v>2.6</v>
      </c>
      <c r="C75" s="1" t="str">
        <f t="shared" ref="C75:C78" si="20">"次"</f>
        <v>次</v>
      </c>
      <c r="D75" s="1" t="str">
        <f t="shared" ref="D75:D78" si="21">"次"</f>
        <v>次</v>
      </c>
      <c r="E75" s="1" t="str">
        <f t="shared" ref="E75:E78" si="22">"治疗费"</f>
        <v>治疗费</v>
      </c>
    </row>
    <row r="76" spans="1:5">
      <c r="A76" s="1" t="str">
        <f>"灌肠"</f>
        <v>灌肠</v>
      </c>
      <c r="B76" s="1">
        <v>13</v>
      </c>
      <c r="C76" s="1" t="str">
        <f t="shared" si="20"/>
        <v>次</v>
      </c>
      <c r="D76" s="1" t="str">
        <f t="shared" si="21"/>
        <v>次</v>
      </c>
      <c r="E76" s="1" t="str">
        <f t="shared" si="22"/>
        <v>治疗费</v>
      </c>
    </row>
    <row r="77" spans="1:5">
      <c r="A77" s="1" t="str">
        <f>"清洁灌肠"</f>
        <v>清洁灌肠</v>
      </c>
      <c r="B77" s="1">
        <v>26</v>
      </c>
      <c r="C77" s="1" t="str">
        <f t="shared" si="20"/>
        <v>次</v>
      </c>
      <c r="D77" s="1" t="str">
        <f t="shared" si="21"/>
        <v>次</v>
      </c>
      <c r="E77" s="1" t="str">
        <f t="shared" si="22"/>
        <v>治疗费</v>
      </c>
    </row>
    <row r="78" spans="1:5">
      <c r="A78" s="1" t="str">
        <f>"导尿"</f>
        <v>导尿</v>
      </c>
      <c r="B78" s="1">
        <v>5.2</v>
      </c>
      <c r="C78" s="1" t="str">
        <f t="shared" si="20"/>
        <v>次</v>
      </c>
      <c r="D78" s="1" t="str">
        <f t="shared" si="21"/>
        <v>次</v>
      </c>
      <c r="E78" s="1" t="str">
        <f t="shared" si="22"/>
        <v>治疗费</v>
      </c>
    </row>
    <row r="79" spans="1:5">
      <c r="A79" s="1" t="str">
        <f>"留置导尿加收"</f>
        <v>留置导尿加收</v>
      </c>
      <c r="B79" s="1">
        <v>1.3</v>
      </c>
      <c r="C79" s="1" t="str">
        <f>"日"</f>
        <v>日</v>
      </c>
      <c r="D79" s="1" t="str">
        <f>"日"</f>
        <v>日</v>
      </c>
      <c r="E79" s="1" t="str">
        <f t="shared" ref="E79:E82" si="23">"治疗费"</f>
        <v>治疗费</v>
      </c>
    </row>
    <row r="80" spans="1:5">
      <c r="A80" s="1" t="str">
        <f>"肛管排气"</f>
        <v>肛管排气</v>
      </c>
      <c r="B80" s="1">
        <v>3.9</v>
      </c>
      <c r="C80" s="1" t="str">
        <f t="shared" ref="C80:C91" si="24">"次"</f>
        <v>次</v>
      </c>
      <c r="D80" s="1" t="str">
        <f t="shared" ref="D80:D93" si="25">"次"</f>
        <v>次</v>
      </c>
      <c r="E80" s="1" t="str">
        <f t="shared" si="23"/>
        <v>治疗费</v>
      </c>
    </row>
    <row r="81" spans="1:5">
      <c r="A81" s="1" t="str">
        <f>"婴幼儿健康体检"</f>
        <v>婴幼儿健康体检</v>
      </c>
      <c r="B81" s="1">
        <v>5</v>
      </c>
      <c r="C81" s="1">
        <v>1</v>
      </c>
      <c r="D81" s="1" t="str">
        <f>"每次"</f>
        <v>每次</v>
      </c>
      <c r="E81" s="1" t="str">
        <f>"体检费"</f>
        <v>体检费</v>
      </c>
    </row>
    <row r="82" spans="1:5">
      <c r="A82" s="1" t="str">
        <f>"儿童龋齿预防保健"</f>
        <v>儿童龋齿预防保健</v>
      </c>
      <c r="B82" s="1">
        <v>1</v>
      </c>
      <c r="C82" s="1" t="str">
        <f t="shared" si="24"/>
        <v>次</v>
      </c>
      <c r="D82" s="1" t="str">
        <f t="shared" si="25"/>
        <v>次</v>
      </c>
      <c r="E82" s="1" t="str">
        <f t="shared" si="23"/>
        <v>治疗费</v>
      </c>
    </row>
    <row r="83" spans="1:5">
      <c r="A83" s="1" t="str">
        <f>"家庭巡诊"</f>
        <v>家庭巡诊</v>
      </c>
      <c r="B83" s="1">
        <v>20</v>
      </c>
      <c r="C83" s="1" t="str">
        <f t="shared" si="24"/>
        <v>次</v>
      </c>
      <c r="D83" s="1" t="str">
        <f t="shared" si="25"/>
        <v>次</v>
      </c>
      <c r="E83" s="1" t="str">
        <f t="shared" ref="E83:E91" si="26">"服务收入"</f>
        <v>服务收入</v>
      </c>
    </row>
    <row r="84" spans="1:5">
      <c r="A84" s="1" t="str">
        <f>"围产保健访视"</f>
        <v>围产保健访视</v>
      </c>
      <c r="B84" s="1">
        <v>10</v>
      </c>
      <c r="C84" s="1" t="str">
        <f t="shared" si="24"/>
        <v>次</v>
      </c>
      <c r="D84" s="1" t="str">
        <f t="shared" si="25"/>
        <v>次</v>
      </c>
      <c r="E84" s="1" t="str">
        <f t="shared" si="26"/>
        <v>服务收入</v>
      </c>
    </row>
    <row r="85" spans="1:5">
      <c r="A85" s="1" t="str">
        <f>"传染病访视"</f>
        <v>传染病访视</v>
      </c>
      <c r="B85" s="1">
        <v>10</v>
      </c>
      <c r="C85" s="1" t="str">
        <f t="shared" si="24"/>
        <v>次</v>
      </c>
      <c r="D85" s="1" t="str">
        <f t="shared" si="25"/>
        <v>次</v>
      </c>
      <c r="E85" s="1" t="str">
        <f t="shared" si="26"/>
        <v>服务收入</v>
      </c>
    </row>
    <row r="86" spans="1:5">
      <c r="A86" s="1" t="str">
        <f>"家庭病床建床费"</f>
        <v>家庭病床建床费</v>
      </c>
      <c r="B86" s="1">
        <v>52</v>
      </c>
      <c r="C86" s="1" t="str">
        <f t="shared" si="24"/>
        <v>次</v>
      </c>
      <c r="D86" s="1" t="str">
        <f t="shared" si="25"/>
        <v>次</v>
      </c>
      <c r="E86" s="1" t="str">
        <f t="shared" si="26"/>
        <v>服务收入</v>
      </c>
    </row>
    <row r="87" spans="1:5">
      <c r="A87" s="1" t="str">
        <f>"家庭病床巡诊费"</f>
        <v>家庭病床巡诊费</v>
      </c>
      <c r="B87" s="1">
        <v>32</v>
      </c>
      <c r="C87" s="1" t="str">
        <f t="shared" si="24"/>
        <v>次</v>
      </c>
      <c r="D87" s="1" t="str">
        <f t="shared" si="25"/>
        <v>次</v>
      </c>
      <c r="E87" s="1" t="str">
        <f t="shared" si="26"/>
        <v>服务收入</v>
      </c>
    </row>
    <row r="88" spans="1:5">
      <c r="A88" s="1" t="str">
        <f>"出诊费"</f>
        <v>出诊费</v>
      </c>
      <c r="B88" s="1">
        <v>40</v>
      </c>
      <c r="C88" s="1" t="str">
        <f t="shared" si="24"/>
        <v>次</v>
      </c>
      <c r="D88" s="1" t="str">
        <f t="shared" si="25"/>
        <v>次</v>
      </c>
      <c r="E88" s="1" t="str">
        <f t="shared" si="26"/>
        <v>服务收入</v>
      </c>
    </row>
    <row r="89" spans="1:5">
      <c r="A89" s="1" t="str">
        <f>"出诊费（副高以上职称）"</f>
        <v>出诊费（副高以上职称）</v>
      </c>
      <c r="B89" s="1">
        <v>55</v>
      </c>
      <c r="C89" s="1" t="str">
        <f t="shared" si="24"/>
        <v>次</v>
      </c>
      <c r="D89" s="1" t="str">
        <f t="shared" si="25"/>
        <v>次</v>
      </c>
      <c r="E89" s="1" t="str">
        <f t="shared" si="26"/>
        <v>服务收入</v>
      </c>
    </row>
    <row r="90" spans="1:5">
      <c r="A90" s="1" t="str">
        <f>"建立健康档案"</f>
        <v>建立健康档案</v>
      </c>
      <c r="B90" s="1">
        <v>2</v>
      </c>
      <c r="C90" s="1" t="str">
        <f t="shared" si="24"/>
        <v>次</v>
      </c>
      <c r="D90" s="1" t="str">
        <f t="shared" si="25"/>
        <v>次</v>
      </c>
      <c r="E90" s="1" t="str">
        <f t="shared" si="26"/>
        <v>服务收入</v>
      </c>
    </row>
    <row r="91" spans="1:5">
      <c r="A91" s="1" t="str">
        <f>"健康咨询"</f>
        <v>健康咨询</v>
      </c>
      <c r="B91" s="1">
        <v>5</v>
      </c>
      <c r="C91" s="1" t="str">
        <f t="shared" si="24"/>
        <v>次</v>
      </c>
      <c r="D91" s="1" t="str">
        <f t="shared" si="25"/>
        <v>次</v>
      </c>
      <c r="E91" s="1" t="str">
        <f t="shared" si="26"/>
        <v>服务收入</v>
      </c>
    </row>
    <row r="92" spans="1:5">
      <c r="A92" s="1" t="str">
        <f>"一般诊疗费"</f>
        <v>一般诊疗费</v>
      </c>
      <c r="B92" s="1">
        <v>10</v>
      </c>
      <c r="C92" s="1">
        <v>1</v>
      </c>
      <c r="D92" s="1" t="str">
        <f t="shared" si="25"/>
        <v>次</v>
      </c>
      <c r="E92" s="1" t="str">
        <f>"一般诊疗费"</f>
        <v>一般诊疗费</v>
      </c>
    </row>
    <row r="93" spans="1:5">
      <c r="A93" s="1" t="str">
        <f>"主任医师一般诊疗费"</f>
        <v>主任医师一般诊疗费</v>
      </c>
      <c r="B93" s="1">
        <v>23</v>
      </c>
      <c r="C93" s="1" t="str">
        <f t="shared" ref="C93:C96" si="27">"次"</f>
        <v>次</v>
      </c>
      <c r="D93" s="1" t="str">
        <f t="shared" si="25"/>
        <v>次</v>
      </c>
      <c r="E93" s="1" t="str">
        <f>"诊查费"</f>
        <v>诊查费</v>
      </c>
    </row>
    <row r="94" spans="1:5">
      <c r="A94" s="1" t="str">
        <f>"副主任医师一般诊疗费"</f>
        <v>副主任医师一般诊疗费</v>
      </c>
      <c r="B94" s="1">
        <v>14</v>
      </c>
      <c r="C94" s="1" t="str">
        <f t="shared" si="27"/>
        <v>次</v>
      </c>
      <c r="D94" s="1" t="str">
        <f>"每次"</f>
        <v>每次</v>
      </c>
      <c r="E94" s="1" t="str">
        <f>"诊查费"</f>
        <v>诊查费</v>
      </c>
    </row>
    <row r="95" spans="1:5">
      <c r="A95" s="1" t="str">
        <f>"普通透视"</f>
        <v>普通透视</v>
      </c>
      <c r="B95" s="1">
        <v>5</v>
      </c>
      <c r="C95" s="1" t="str">
        <f>"每个部位"</f>
        <v>每个部位</v>
      </c>
      <c r="D95" s="1" t="str">
        <f>"每个部位"</f>
        <v>每个部位</v>
      </c>
      <c r="E95" s="1" t="str">
        <f t="shared" ref="E95:E101" si="28">"放射费"</f>
        <v>放射费</v>
      </c>
    </row>
    <row r="96" spans="1:5">
      <c r="A96" s="1" t="str">
        <f>"一张胶片多次曝光加收，最多不超过5次"</f>
        <v>一张胶片多次曝光加收，最多不超过5次</v>
      </c>
      <c r="B96" s="1">
        <v>3</v>
      </c>
      <c r="C96" s="1" t="str">
        <f t="shared" si="27"/>
        <v>次</v>
      </c>
      <c r="D96" s="1" t="str">
        <f>"次"</f>
        <v>次</v>
      </c>
      <c r="E96" s="1" t="str">
        <f t="shared" si="28"/>
        <v>放射费</v>
      </c>
    </row>
    <row r="97" spans="1:5">
      <c r="A97" s="1" t="str">
        <f>"牙片"</f>
        <v>牙片</v>
      </c>
      <c r="B97" s="1">
        <v>3</v>
      </c>
      <c r="C97" s="1" t="str">
        <f t="shared" ref="C97:C100" si="29">"片数"</f>
        <v>片数</v>
      </c>
      <c r="D97" s="1" t="str">
        <f t="shared" ref="D97:D100" si="30">"片数"</f>
        <v>片数</v>
      </c>
      <c r="E97" s="1" t="str">
        <f t="shared" si="28"/>
        <v>放射费</v>
      </c>
    </row>
    <row r="98" spans="1:5">
      <c r="A98" s="1" t="str">
        <f>"咬合片"</f>
        <v>咬合片</v>
      </c>
      <c r="B98" s="1">
        <v>3</v>
      </c>
      <c r="C98" s="1" t="str">
        <f t="shared" si="29"/>
        <v>片数</v>
      </c>
      <c r="D98" s="1" t="str">
        <f t="shared" si="30"/>
        <v>片数</v>
      </c>
      <c r="E98" s="1" t="str">
        <f t="shared" si="28"/>
        <v>放射费</v>
      </c>
    </row>
    <row r="99" spans="1:5">
      <c r="A99" s="1" t="str">
        <f>"咬合片进口胶片"</f>
        <v>咬合片进口胶片</v>
      </c>
      <c r="B99" s="1">
        <v>20</v>
      </c>
      <c r="C99" s="1" t="str">
        <f t="shared" si="29"/>
        <v>片数</v>
      </c>
      <c r="D99" s="1" t="str">
        <f t="shared" si="30"/>
        <v>片数</v>
      </c>
      <c r="E99" s="1" t="str">
        <f t="shared" si="28"/>
        <v>放射费</v>
      </c>
    </row>
    <row r="100" spans="1:5">
      <c r="A100" s="1" t="str">
        <f>"曲面体层摄影(颌全景摄影)"</f>
        <v>曲面体层摄影(颌全景摄影)</v>
      </c>
      <c r="B100" s="1">
        <v>50</v>
      </c>
      <c r="C100" s="1" t="str">
        <f t="shared" si="29"/>
        <v>片数</v>
      </c>
      <c r="D100" s="1" t="str">
        <f t="shared" si="30"/>
        <v>片数</v>
      </c>
      <c r="E100" s="1" t="str">
        <f t="shared" si="28"/>
        <v>放射费</v>
      </c>
    </row>
    <row r="101" spans="1:5">
      <c r="A101" s="1" t="str">
        <f>"数字化摄影(DR)"</f>
        <v>数字化摄影(DR)</v>
      </c>
      <c r="B101" s="1">
        <v>60</v>
      </c>
      <c r="C101" s="1" t="str">
        <f t="shared" ref="C101:D103" si="31">"次"</f>
        <v>次</v>
      </c>
      <c r="D101" s="1" t="str">
        <f t="shared" si="31"/>
        <v>次</v>
      </c>
      <c r="E101" s="1" t="str">
        <f t="shared" si="28"/>
        <v>放射费</v>
      </c>
    </row>
    <row r="102" spans="1:5">
      <c r="A102" s="1" t="str">
        <f>"数字化摄影(DR)从第二次曝光开始加收"</f>
        <v>数字化摄影(DR)从第二次曝光开始加收</v>
      </c>
      <c r="B102" s="1">
        <v>30</v>
      </c>
      <c r="C102" s="1" t="str">
        <f t="shared" si="31"/>
        <v>次</v>
      </c>
      <c r="D102" s="1" t="str">
        <f t="shared" si="31"/>
        <v>次</v>
      </c>
      <c r="E102" s="1" t="str">
        <f>"放射费"</f>
        <v>放射费</v>
      </c>
    </row>
    <row r="103" spans="1:5">
      <c r="A103" s="1" t="str">
        <f>"院外影像学会诊"</f>
        <v>院外影像学会诊</v>
      </c>
      <c r="B103" s="1">
        <v>40</v>
      </c>
      <c r="C103" s="1" t="str">
        <f t="shared" si="31"/>
        <v>次</v>
      </c>
      <c r="D103" s="1" t="str">
        <f t="shared" si="31"/>
        <v>次</v>
      </c>
      <c r="E103" s="1" t="str">
        <f>"放射费"</f>
        <v>放射费</v>
      </c>
    </row>
    <row r="104" spans="1:5">
      <c r="A104" s="1" t="str">
        <f>"红外线乳腺检查"</f>
        <v>红外线乳腺检查</v>
      </c>
      <c r="B104" s="1">
        <v>40</v>
      </c>
      <c r="C104" s="1" t="str">
        <f>"单侧"</f>
        <v>单侧</v>
      </c>
      <c r="D104" s="1" t="str">
        <f>"单侧"</f>
        <v>单侧</v>
      </c>
      <c r="E104" s="1" t="str">
        <f>"检查费"</f>
        <v>检查费</v>
      </c>
    </row>
    <row r="105" spans="1:5">
      <c r="A105" s="1" t="str">
        <f>"单脏器B超检查"</f>
        <v>单脏器B超检查</v>
      </c>
      <c r="B105" s="1">
        <v>10</v>
      </c>
      <c r="C105" s="1" t="str">
        <f t="shared" ref="C105:C107" si="32">"次"</f>
        <v>次</v>
      </c>
      <c r="D105" s="1" t="str">
        <f t="shared" ref="D105:D107" si="33">"次"</f>
        <v>次</v>
      </c>
      <c r="E105" s="1" t="str">
        <f t="shared" ref="E105:E108" si="34">"超声费"</f>
        <v>超声费</v>
      </c>
    </row>
    <row r="106" spans="1:5">
      <c r="A106" s="1" t="str">
        <f>"单脏器B超检查每增加一个脏器检查加收"</f>
        <v>单脏器B超检查每增加一个脏器检查加收</v>
      </c>
      <c r="B106" s="1">
        <v>5</v>
      </c>
      <c r="C106" s="1" t="str">
        <f t="shared" si="32"/>
        <v>次</v>
      </c>
      <c r="D106" s="1" t="str">
        <f t="shared" si="33"/>
        <v>次</v>
      </c>
      <c r="E106" s="1" t="str">
        <f t="shared" si="34"/>
        <v>超声费</v>
      </c>
    </row>
    <row r="107" spans="1:5">
      <c r="A107" s="1" t="str">
        <f>"B超常规检查"</f>
        <v>B超常规检查</v>
      </c>
      <c r="B107" s="1">
        <v>30</v>
      </c>
      <c r="C107" s="1" t="str">
        <f t="shared" si="32"/>
        <v>次</v>
      </c>
      <c r="D107" s="1" t="str">
        <f t="shared" si="33"/>
        <v>次</v>
      </c>
      <c r="E107" s="1" t="str">
        <f t="shared" si="34"/>
        <v>超声费</v>
      </c>
    </row>
    <row r="108" spans="1:5">
      <c r="A108" s="1" t="str">
        <f>"浅表组织器官B超检查"</f>
        <v>浅表组织器官B超检查</v>
      </c>
      <c r="B108" s="1">
        <v>25</v>
      </c>
      <c r="C108" s="1" t="str">
        <f>"每个部位"</f>
        <v>每个部位</v>
      </c>
      <c r="D108" s="1" t="str">
        <f>"每个部位"</f>
        <v>每个部位</v>
      </c>
      <c r="E108" s="1" t="str">
        <f t="shared" si="34"/>
        <v>超声费</v>
      </c>
    </row>
    <row r="109" spans="1:5">
      <c r="A109" s="1" t="str">
        <f>"超声骨密度检测"</f>
        <v>超声骨密度检测</v>
      </c>
      <c r="B109" s="1">
        <v>40</v>
      </c>
      <c r="C109" s="1" t="str">
        <f>"次"</f>
        <v>次</v>
      </c>
      <c r="D109" s="1" t="str">
        <f>"次"</f>
        <v>次</v>
      </c>
      <c r="E109" s="1" t="str">
        <f>"检查费"</f>
        <v>检查费</v>
      </c>
    </row>
    <row r="110" spans="1:5">
      <c r="A110" s="1" t="str">
        <f>"膀胱残余尿测定"</f>
        <v>膀胱残余尿测定</v>
      </c>
      <c r="B110" s="1">
        <v>25</v>
      </c>
      <c r="C110" s="1">
        <v>1</v>
      </c>
      <c r="D110" s="1" t="str">
        <f>"次"</f>
        <v>次</v>
      </c>
      <c r="E110" s="1" t="str">
        <f t="shared" ref="E110:E122" si="35">"彩超费"</f>
        <v>彩超费</v>
      </c>
    </row>
    <row r="111" spans="1:5">
      <c r="A111" s="1" t="str">
        <f>"彩色多普勒超声常规检查"</f>
        <v>彩色多普勒超声常规检查</v>
      </c>
      <c r="B111" s="1">
        <v>50</v>
      </c>
      <c r="C111" s="1">
        <v>1</v>
      </c>
      <c r="D111" s="1" t="str">
        <f t="shared" ref="D111:D116" si="36">"部位"</f>
        <v>部位</v>
      </c>
      <c r="E111" s="1" t="str">
        <f t="shared" si="35"/>
        <v>彩超费</v>
      </c>
    </row>
    <row r="112" spans="1:5">
      <c r="A112" s="1" t="str">
        <f>"彩色多普勒超声常规检查（妇科）"</f>
        <v>彩色多普勒超声常规检查（妇科）</v>
      </c>
      <c r="B112" s="1">
        <v>50</v>
      </c>
      <c r="C112" s="1" t="str">
        <f t="shared" ref="C112:C117" si="37">"项"</f>
        <v>项</v>
      </c>
      <c r="D112" s="1" t="str">
        <f t="shared" si="36"/>
        <v>部位</v>
      </c>
      <c r="E112" s="1" t="str">
        <f t="shared" si="35"/>
        <v>彩超费</v>
      </c>
    </row>
    <row r="113" spans="1:5">
      <c r="A113" s="1" t="str">
        <f>"彩色多普勒超声常规检查（腹部）"</f>
        <v>彩色多普勒超声常规检查（腹部）</v>
      </c>
      <c r="B113" s="1">
        <v>50</v>
      </c>
      <c r="C113" s="1" t="str">
        <f t="shared" si="37"/>
        <v>项</v>
      </c>
      <c r="D113" s="1" t="str">
        <f t="shared" si="36"/>
        <v>部位</v>
      </c>
      <c r="E113" s="1" t="str">
        <f t="shared" si="35"/>
        <v>彩超费</v>
      </c>
    </row>
    <row r="114" spans="1:5">
      <c r="A114" s="1" t="str">
        <f>"彩色多普勒超声常规检查(泌尿系）"</f>
        <v>彩色多普勒超声常规检查(泌尿系）</v>
      </c>
      <c r="B114" s="1">
        <v>50</v>
      </c>
      <c r="C114" s="1" t="str">
        <f t="shared" si="37"/>
        <v>项</v>
      </c>
      <c r="D114" s="1" t="str">
        <f t="shared" si="36"/>
        <v>部位</v>
      </c>
      <c r="E114" s="1" t="str">
        <f t="shared" si="35"/>
        <v>彩超费</v>
      </c>
    </row>
    <row r="115" spans="1:5">
      <c r="A115" s="1" t="str">
        <f>"彩色多普勒超声常规检查（胃肠系）"</f>
        <v>彩色多普勒超声常规检查（胃肠系）</v>
      </c>
      <c r="B115" s="1">
        <v>50</v>
      </c>
      <c r="C115" s="1" t="str">
        <f t="shared" si="37"/>
        <v>项</v>
      </c>
      <c r="D115" s="1" t="str">
        <f t="shared" si="36"/>
        <v>部位</v>
      </c>
      <c r="E115" s="1" t="str">
        <f t="shared" si="35"/>
        <v>彩超费</v>
      </c>
    </row>
    <row r="116" spans="1:5">
      <c r="A116" s="1" t="str">
        <f>"彩色多普勒超声常规检查（胸部）"</f>
        <v>彩色多普勒超声常规检查（胸部）</v>
      </c>
      <c r="B116" s="1">
        <v>50</v>
      </c>
      <c r="C116" s="1" t="str">
        <f t="shared" si="37"/>
        <v>项</v>
      </c>
      <c r="D116" s="1" t="str">
        <f t="shared" si="36"/>
        <v>部位</v>
      </c>
      <c r="E116" s="1" t="str">
        <f t="shared" si="35"/>
        <v>彩超费</v>
      </c>
    </row>
    <row r="117" spans="1:5">
      <c r="A117" s="1" t="str">
        <f>"浅表器官彩色多普勒超声检查"</f>
        <v>浅表器官彩色多普勒超声检查</v>
      </c>
      <c r="B117" s="1">
        <v>50</v>
      </c>
      <c r="C117" s="1" t="str">
        <f t="shared" si="37"/>
        <v>项</v>
      </c>
      <c r="D117" s="1" t="str">
        <f>"每个 部位"</f>
        <v>每个 部位</v>
      </c>
      <c r="E117" s="1" t="str">
        <f t="shared" si="35"/>
        <v>彩超费</v>
      </c>
    </row>
    <row r="118" spans="1:5">
      <c r="A118" s="1" t="str">
        <f>"浅表器官彩色多普勒超声检查(甲状腺及颈部淋巴结)"</f>
        <v>浅表器官彩色多普勒超声检查(甲状腺及颈部淋巴结)</v>
      </c>
      <c r="B118" s="1">
        <v>50</v>
      </c>
      <c r="C118" s="1" t="str">
        <f t="shared" ref="C118:C120" si="38">"次"</f>
        <v>次</v>
      </c>
      <c r="D118" s="1" t="str">
        <f>"每个部位"</f>
        <v>每个部位</v>
      </c>
      <c r="E118" s="1" t="str">
        <f t="shared" si="35"/>
        <v>彩超费</v>
      </c>
    </row>
    <row r="119" spans="1:5">
      <c r="A119" s="1" t="str">
        <f>"浅表器官彩色多普勒超声检查(单侧乳腺及其引流区淋巴结)"</f>
        <v>浅表器官彩色多普勒超声检查(单侧乳腺及其引流区淋巴结)</v>
      </c>
      <c r="B119" s="1">
        <v>50</v>
      </c>
      <c r="C119" s="1" t="str">
        <f t="shared" si="38"/>
        <v>次</v>
      </c>
      <c r="D119" s="1" t="str">
        <f>"每个 部位"</f>
        <v>每个 部位</v>
      </c>
      <c r="E119" s="1" t="str">
        <f t="shared" si="35"/>
        <v>彩超费</v>
      </c>
    </row>
    <row r="120" spans="1:5">
      <c r="A120" s="1" t="str">
        <f>"颈部血管彩色多普勒超声"</f>
        <v>颈部血管彩色多普勒超声</v>
      </c>
      <c r="B120" s="1">
        <v>35</v>
      </c>
      <c r="C120" s="1" t="str">
        <f t="shared" si="38"/>
        <v>次</v>
      </c>
      <c r="D120" s="1" t="str">
        <f>"每根"</f>
        <v>每根</v>
      </c>
      <c r="E120" s="1" t="str">
        <f t="shared" si="35"/>
        <v>彩超费</v>
      </c>
    </row>
    <row r="121" spans="1:5">
      <c r="A121" s="1" t="str">
        <f>"四肢血管彩色多普勒超声"</f>
        <v>四肢血管彩色多普勒超声</v>
      </c>
      <c r="B121" s="1">
        <v>35</v>
      </c>
      <c r="C121" s="1" t="str">
        <f>"项"</f>
        <v>项</v>
      </c>
      <c r="D121" s="1" t="str">
        <f>"每肢"</f>
        <v>每肢</v>
      </c>
      <c r="E121" s="1" t="str">
        <f t="shared" si="35"/>
        <v>彩超费</v>
      </c>
    </row>
    <row r="122" spans="1:5">
      <c r="A122" s="1" t="str">
        <f>"腔内彩色多普勒超声检查"</f>
        <v>腔内彩色多普勒超声检查</v>
      </c>
      <c r="B122" s="1">
        <v>35</v>
      </c>
      <c r="C122" s="1" t="str">
        <f t="shared" ref="C122:C128" si="39">"次"</f>
        <v>次</v>
      </c>
      <c r="D122" s="1" t="str">
        <f t="shared" ref="D122:D125" si="40">"次"</f>
        <v>次</v>
      </c>
      <c r="E122" s="1" t="str">
        <f t="shared" si="35"/>
        <v>彩超费</v>
      </c>
    </row>
    <row r="123" spans="1:5">
      <c r="A123" s="1" t="str">
        <f>"腔内彩色多普勒超声检查(经阴道)"</f>
        <v>腔内彩色多普勒超声检查(经阴道)</v>
      </c>
      <c r="B123" s="1">
        <v>35</v>
      </c>
      <c r="C123" s="1" t="str">
        <f t="shared" si="39"/>
        <v>次</v>
      </c>
      <c r="D123" s="1" t="str">
        <f t="shared" si="40"/>
        <v>次</v>
      </c>
      <c r="E123" s="1" t="str">
        <f>"超声费"</f>
        <v>超声费</v>
      </c>
    </row>
    <row r="124" spans="1:5">
      <c r="A124" s="1" t="str">
        <f>"多普勒血流图"</f>
        <v>多普勒血流图</v>
      </c>
      <c r="B124" s="1">
        <v>30</v>
      </c>
      <c r="C124" s="1" t="str">
        <f>"单肢或部位"</f>
        <v>单肢或部位</v>
      </c>
      <c r="D124" s="1" t="str">
        <f>"每部位"</f>
        <v>每部位</v>
      </c>
      <c r="E124" s="1" t="str">
        <f t="shared" ref="E124:E126" si="41">"彩超费"</f>
        <v>彩超费</v>
      </c>
    </row>
    <row r="125" spans="1:5">
      <c r="A125" s="1" t="str">
        <f>"心脏彩色多普勒超声"</f>
        <v>心脏彩色多普勒超声</v>
      </c>
      <c r="B125" s="1">
        <v>100</v>
      </c>
      <c r="C125" s="1" t="str">
        <f>"项"</f>
        <v>项</v>
      </c>
      <c r="D125" s="1" t="str">
        <f t="shared" si="40"/>
        <v>次</v>
      </c>
      <c r="E125" s="1" t="str">
        <f t="shared" si="41"/>
        <v>彩超费</v>
      </c>
    </row>
    <row r="126" spans="1:5">
      <c r="A126" s="1" t="str">
        <f>"左心功能测定"</f>
        <v>左心功能测定</v>
      </c>
      <c r="B126" s="1">
        <v>65</v>
      </c>
      <c r="C126" s="1" t="str">
        <f t="shared" si="39"/>
        <v>次</v>
      </c>
      <c r="D126" s="1" t="str">
        <f>"车次"</f>
        <v>车次</v>
      </c>
      <c r="E126" s="1" t="str">
        <f t="shared" si="41"/>
        <v>彩超费</v>
      </c>
    </row>
    <row r="127" spans="1:5">
      <c r="A127" s="1" t="str">
        <f>"组织多普勒显象(TDI)*"</f>
        <v>组织多普勒显象(TDI)*</v>
      </c>
      <c r="B127" s="1">
        <v>50</v>
      </c>
      <c r="C127" s="1" t="str">
        <f t="shared" si="39"/>
        <v>次</v>
      </c>
      <c r="D127" s="1" t="str">
        <f t="shared" ref="D127:D132" si="42">"次"</f>
        <v>次</v>
      </c>
      <c r="E127" s="1" t="str">
        <f>"超声费"</f>
        <v>超声费</v>
      </c>
    </row>
    <row r="128" spans="1:5">
      <c r="A128" s="1" t="str">
        <f>"室壁运动分析"</f>
        <v>室壁运动分析</v>
      </c>
      <c r="B128" s="1">
        <v>50</v>
      </c>
      <c r="C128" s="1" t="str">
        <f t="shared" si="39"/>
        <v>次</v>
      </c>
      <c r="D128" s="1" t="str">
        <f t="shared" si="42"/>
        <v>次</v>
      </c>
      <c r="E128" s="1" t="str">
        <f>"彩超费"</f>
        <v>彩超费</v>
      </c>
    </row>
    <row r="129" spans="1:5">
      <c r="A129" s="1" t="str">
        <f>"黑白热敏打印照片"</f>
        <v>黑白热敏打印照片</v>
      </c>
      <c r="B129" s="1">
        <v>10</v>
      </c>
      <c r="C129" s="1" t="str">
        <f t="shared" ref="C129:C131" si="43">"片"</f>
        <v>片</v>
      </c>
      <c r="D129" s="1" t="str">
        <f t="shared" ref="D129:D131" si="44">"片"</f>
        <v>片</v>
      </c>
      <c r="E129" s="1" t="str">
        <f t="shared" ref="E129:E134" si="45">"检查费"</f>
        <v>检查费</v>
      </c>
    </row>
    <row r="130" spans="1:5">
      <c r="A130" s="1" t="str">
        <f>"彩色打印照片"</f>
        <v>彩色打印照片</v>
      </c>
      <c r="B130" s="1">
        <v>15</v>
      </c>
      <c r="C130" s="1" t="str">
        <f t="shared" si="43"/>
        <v>片</v>
      </c>
      <c r="D130" s="1" t="str">
        <f t="shared" si="44"/>
        <v>片</v>
      </c>
      <c r="E130" s="1" t="str">
        <f t="shared" si="45"/>
        <v>检查费</v>
      </c>
    </row>
    <row r="131" spans="1:5">
      <c r="A131" s="1" t="str">
        <f>"彩色胶片照相"</f>
        <v>彩色胶片照相</v>
      </c>
      <c r="B131" s="1">
        <v>15</v>
      </c>
      <c r="C131" s="1" t="str">
        <f t="shared" si="43"/>
        <v>片</v>
      </c>
      <c r="D131" s="1" t="str">
        <f t="shared" si="44"/>
        <v>片</v>
      </c>
      <c r="E131" s="1" t="str">
        <f t="shared" si="45"/>
        <v>检查费</v>
      </c>
    </row>
    <row r="132" spans="1:5">
      <c r="A132" s="1" t="str">
        <f>"计算机图文报告"</f>
        <v>计算机图文报告</v>
      </c>
      <c r="B132" s="1">
        <v>15</v>
      </c>
      <c r="C132" s="1" t="str">
        <f>"次"</f>
        <v>次</v>
      </c>
      <c r="D132" s="1" t="str">
        <f t="shared" si="42"/>
        <v>次</v>
      </c>
      <c r="E132" s="1" t="str">
        <f t="shared" si="45"/>
        <v>检查费</v>
      </c>
    </row>
    <row r="133" spans="1:5">
      <c r="A133" s="1" t="str">
        <f>"彩色胶片报告"</f>
        <v>彩色胶片报告</v>
      </c>
      <c r="B133" s="1">
        <v>20</v>
      </c>
      <c r="C133" s="1" t="str">
        <f>"片"</f>
        <v>片</v>
      </c>
      <c r="D133" s="1" t="str">
        <f>"片"</f>
        <v>片</v>
      </c>
      <c r="E133" s="1" t="str">
        <f t="shared" si="45"/>
        <v>检查费</v>
      </c>
    </row>
    <row r="134" spans="1:5">
      <c r="A134" s="1" t="str">
        <f>"骨密度测定双能X线骨密度仪检测（同位素）"</f>
        <v>骨密度测定双能X线骨密度仪检测（同位素）</v>
      </c>
      <c r="B134" s="1">
        <v>300</v>
      </c>
      <c r="C134" s="1" t="str">
        <f>"次"</f>
        <v>次</v>
      </c>
      <c r="D134" s="1" t="str">
        <f>"次"</f>
        <v>次</v>
      </c>
      <c r="E134" s="1" t="str">
        <f t="shared" si="45"/>
        <v>检查费</v>
      </c>
    </row>
    <row r="135" spans="1:5">
      <c r="A135" s="1" t="str">
        <f>"血红蛋白测定(Hb)"</f>
        <v>血红蛋白测定(Hb)</v>
      </c>
      <c r="B135" s="1">
        <v>1</v>
      </c>
      <c r="C135" s="1" t="str">
        <f t="shared" ref="C135:C137" si="46">"项"</f>
        <v>项</v>
      </c>
      <c r="D135" s="1" t="str">
        <f t="shared" ref="D135:D137" si="47">"项"</f>
        <v>项</v>
      </c>
      <c r="E135" s="1" t="str">
        <f t="shared" ref="E135:E198" si="48">"检验费"</f>
        <v>检验费</v>
      </c>
    </row>
    <row r="136" spans="1:5">
      <c r="A136" s="1" t="str">
        <f>"红细胞计数(RBC)"</f>
        <v>红细胞计数(RBC)</v>
      </c>
      <c r="B136" s="1">
        <v>1</v>
      </c>
      <c r="C136" s="1" t="str">
        <f t="shared" si="46"/>
        <v>项</v>
      </c>
      <c r="D136" s="1" t="str">
        <f t="shared" si="47"/>
        <v>项</v>
      </c>
      <c r="E136" s="1" t="str">
        <f t="shared" si="48"/>
        <v>检验费</v>
      </c>
    </row>
    <row r="137" spans="1:5">
      <c r="A137" s="1" t="str">
        <f>"红细胞比积测定(HCT)"</f>
        <v>红细胞比积测定(HCT)</v>
      </c>
      <c r="B137" s="1">
        <v>1</v>
      </c>
      <c r="C137" s="1" t="str">
        <f t="shared" si="46"/>
        <v>项</v>
      </c>
      <c r="D137" s="1" t="str">
        <f t="shared" si="47"/>
        <v>项</v>
      </c>
      <c r="E137" s="1" t="str">
        <f t="shared" si="48"/>
        <v>检验费</v>
      </c>
    </row>
    <row r="138" spans="1:5">
      <c r="A138" s="1" t="str">
        <f>"红细胞参数平均值测定"</f>
        <v>红细胞参数平均值测定</v>
      </c>
      <c r="B138" s="1">
        <v>2</v>
      </c>
      <c r="C138" s="1" t="str">
        <f>"次"</f>
        <v>次</v>
      </c>
      <c r="D138" s="1" t="str">
        <f>"次"</f>
        <v>次</v>
      </c>
      <c r="E138" s="1" t="str">
        <f t="shared" si="48"/>
        <v>检验费</v>
      </c>
    </row>
    <row r="139" spans="1:5">
      <c r="A139" s="1" t="str">
        <f>"网织红细胞计数(Ret)"</f>
        <v>网织红细胞计数(Ret)</v>
      </c>
      <c r="B139" s="1">
        <v>1</v>
      </c>
      <c r="C139" s="1" t="str">
        <f t="shared" ref="C139:C147" si="49">"项"</f>
        <v>项</v>
      </c>
      <c r="D139" s="1" t="str">
        <f t="shared" ref="D139:D147" si="50">"项"</f>
        <v>项</v>
      </c>
      <c r="E139" s="1" t="str">
        <f t="shared" si="48"/>
        <v>检验费</v>
      </c>
    </row>
    <row r="140" spans="1:5">
      <c r="A140" s="1" t="str">
        <f>"异常红细胞形态检查"</f>
        <v>异常红细胞形态检查</v>
      </c>
      <c r="B140" s="1">
        <v>2</v>
      </c>
      <c r="C140" s="1" t="str">
        <f t="shared" si="49"/>
        <v>项</v>
      </c>
      <c r="D140" s="1" t="str">
        <f t="shared" si="50"/>
        <v>项</v>
      </c>
      <c r="E140" s="1" t="str">
        <f t="shared" si="48"/>
        <v>检验费</v>
      </c>
    </row>
    <row r="141" spans="1:5">
      <c r="A141" s="1" t="str">
        <f>"红细胞沉降率测定(ESR)(仪器法)"</f>
        <v>红细胞沉降率测定(ESR)(仪器法)</v>
      </c>
      <c r="B141" s="1">
        <v>7</v>
      </c>
      <c r="C141" s="1" t="str">
        <f>"-"</f>
        <v>-</v>
      </c>
      <c r="D141" s="1" t="str">
        <f>"次"</f>
        <v>次</v>
      </c>
      <c r="E141" s="1" t="str">
        <f t="shared" si="48"/>
        <v>检验费</v>
      </c>
    </row>
    <row r="142" spans="1:5">
      <c r="A142" s="1" t="str">
        <f>"白细胞计数(WBC)"</f>
        <v>白细胞计数(WBC)</v>
      </c>
      <c r="B142" s="1">
        <v>1</v>
      </c>
      <c r="C142" s="1" t="str">
        <f t="shared" si="49"/>
        <v>项</v>
      </c>
      <c r="D142" s="1" t="str">
        <f t="shared" si="50"/>
        <v>项</v>
      </c>
      <c r="E142" s="1" t="str">
        <f t="shared" si="48"/>
        <v>检验费</v>
      </c>
    </row>
    <row r="143" spans="1:5">
      <c r="A143" s="1" t="str">
        <f>"白细胞分类计数(DC)"</f>
        <v>白细胞分类计数(DC)</v>
      </c>
      <c r="B143" s="1" t="str">
        <f>"0.5"</f>
        <v>0.5</v>
      </c>
      <c r="C143" s="1" t="str">
        <f t="shared" si="49"/>
        <v>项</v>
      </c>
      <c r="D143" s="1" t="str">
        <f t="shared" si="50"/>
        <v>项</v>
      </c>
      <c r="E143" s="1" t="str">
        <f t="shared" si="48"/>
        <v>检验费</v>
      </c>
    </row>
    <row r="144" spans="1:5">
      <c r="A144" s="1" t="str">
        <f>"粒细胞计数"</f>
        <v>粒细胞计数</v>
      </c>
      <c r="B144" s="1">
        <v>1</v>
      </c>
      <c r="C144" s="1" t="str">
        <f t="shared" si="49"/>
        <v>项</v>
      </c>
      <c r="D144" s="1" t="str">
        <f t="shared" si="50"/>
        <v>项</v>
      </c>
      <c r="E144" s="1" t="str">
        <f t="shared" si="48"/>
        <v>检验费</v>
      </c>
    </row>
    <row r="145" spans="1:5">
      <c r="A145" s="1" t="str">
        <f>"异常白细胞形态检查"</f>
        <v>异常白细胞形态检查</v>
      </c>
      <c r="B145" s="1">
        <v>2</v>
      </c>
      <c r="C145" s="1" t="str">
        <f t="shared" si="49"/>
        <v>项</v>
      </c>
      <c r="D145" s="1" t="str">
        <f t="shared" si="50"/>
        <v>项</v>
      </c>
      <c r="E145" s="1" t="str">
        <f t="shared" si="48"/>
        <v>检验费</v>
      </c>
    </row>
    <row r="146" spans="1:5">
      <c r="A146" s="1" t="str">
        <f>"血小板计数"</f>
        <v>血小板计数</v>
      </c>
      <c r="B146" s="1">
        <v>1</v>
      </c>
      <c r="C146" s="1" t="str">
        <f t="shared" si="49"/>
        <v>项</v>
      </c>
      <c r="D146" s="1" t="str">
        <f t="shared" si="50"/>
        <v>项</v>
      </c>
      <c r="E146" s="1" t="str">
        <f t="shared" si="48"/>
        <v>检验费</v>
      </c>
    </row>
    <row r="147" spans="1:5">
      <c r="A147" s="1" t="str">
        <f>"血细胞分析（手工法）"</f>
        <v>血细胞分析（手工法）</v>
      </c>
      <c r="B147" s="1">
        <v>2</v>
      </c>
      <c r="C147" s="1" t="str">
        <f t="shared" si="49"/>
        <v>项</v>
      </c>
      <c r="D147" s="1" t="str">
        <f t="shared" si="50"/>
        <v>项</v>
      </c>
      <c r="E147" s="1" t="str">
        <f t="shared" si="48"/>
        <v>检验费</v>
      </c>
    </row>
    <row r="148" spans="1:5">
      <c r="A148" s="1" t="str">
        <f>"血细胞分析（三分类）"</f>
        <v>血细胞分析（三分类）</v>
      </c>
      <c r="B148" s="1">
        <v>10</v>
      </c>
      <c r="C148" s="1" t="str">
        <f t="shared" ref="C148:C151" si="51">"次"</f>
        <v>次</v>
      </c>
      <c r="D148" s="1" t="str">
        <f t="shared" ref="D148:D151" si="52">"次"</f>
        <v>次</v>
      </c>
      <c r="E148" s="1" t="str">
        <f t="shared" si="48"/>
        <v>检验费</v>
      </c>
    </row>
    <row r="149" spans="1:5">
      <c r="A149" s="1" t="str">
        <f>"血细胞分析（五分类）"</f>
        <v>血细胞分析（五分类）</v>
      </c>
      <c r="B149" s="1">
        <v>18</v>
      </c>
      <c r="C149" s="1" t="str">
        <f t="shared" si="51"/>
        <v>次</v>
      </c>
      <c r="D149" s="1" t="str">
        <f t="shared" si="52"/>
        <v>次</v>
      </c>
      <c r="E149" s="1" t="str">
        <f t="shared" si="48"/>
        <v>检验费</v>
      </c>
    </row>
    <row r="150" spans="1:5">
      <c r="A150" s="1" t="str">
        <f>"尿液分析使用抗维生素C试剂条加收"</f>
        <v>尿液分析使用抗维生素C试剂条加收</v>
      </c>
      <c r="B150" s="1">
        <v>2</v>
      </c>
      <c r="C150" s="1" t="str">
        <f t="shared" si="51"/>
        <v>次</v>
      </c>
      <c r="D150" s="1" t="str">
        <f t="shared" si="52"/>
        <v>次</v>
      </c>
      <c r="E150" s="1" t="str">
        <f t="shared" si="48"/>
        <v>检验费</v>
      </c>
    </row>
    <row r="151" spans="1:5">
      <c r="A151" s="1" t="str">
        <f>"尿常规镜检"</f>
        <v>尿常规镜检</v>
      </c>
      <c r="B151" s="1">
        <v>1</v>
      </c>
      <c r="C151" s="1" t="str">
        <f t="shared" si="51"/>
        <v>次</v>
      </c>
      <c r="D151" s="1" t="str">
        <f t="shared" si="52"/>
        <v>次</v>
      </c>
      <c r="E151" s="1" t="str">
        <f t="shared" si="48"/>
        <v>检验费</v>
      </c>
    </row>
    <row r="152" spans="1:5">
      <c r="A152" s="1" t="str">
        <f>"尿酸碱度测定"</f>
        <v>尿酸碱度测定</v>
      </c>
      <c r="B152" s="1" t="str">
        <f t="shared" ref="B152:B155" si="53">"0.5"</f>
        <v>0.5</v>
      </c>
      <c r="C152" s="1">
        <v>1</v>
      </c>
      <c r="D152" s="1" t="str">
        <f>"每次"</f>
        <v>每次</v>
      </c>
      <c r="E152" s="1" t="str">
        <f t="shared" si="48"/>
        <v>检验费</v>
      </c>
    </row>
    <row r="153" spans="1:5">
      <c r="A153" s="1" t="str">
        <f>"尿比重测定"</f>
        <v>尿比重测定</v>
      </c>
      <c r="B153" s="1" t="str">
        <f t="shared" si="53"/>
        <v>0.5</v>
      </c>
      <c r="C153" s="1">
        <v>1</v>
      </c>
      <c r="D153" s="1" t="str">
        <f>"次"</f>
        <v>次</v>
      </c>
      <c r="E153" s="1" t="str">
        <f t="shared" si="48"/>
        <v>检验费</v>
      </c>
    </row>
    <row r="154" spans="1:5">
      <c r="A154" s="1" t="str">
        <f>"渗透压检查"</f>
        <v>渗透压检查</v>
      </c>
      <c r="B154" s="1">
        <v>3</v>
      </c>
      <c r="C154" s="1" t="str">
        <f t="shared" ref="C154:C166" si="54">"项"</f>
        <v>项</v>
      </c>
      <c r="D154" s="1" t="str">
        <f t="shared" ref="D154:D166" si="55">"项"</f>
        <v>项</v>
      </c>
      <c r="E154" s="1" t="str">
        <f t="shared" si="48"/>
        <v>检验费</v>
      </c>
    </row>
    <row r="155" spans="1:5">
      <c r="A155" s="1" t="str">
        <f>"尿蛋白定性"</f>
        <v>尿蛋白定性</v>
      </c>
      <c r="B155" s="1" t="str">
        <f t="shared" si="53"/>
        <v>0.5</v>
      </c>
      <c r="C155" s="1">
        <v>1</v>
      </c>
      <c r="D155" s="1" t="str">
        <f>"次"</f>
        <v>次</v>
      </c>
      <c r="E155" s="1" t="str">
        <f t="shared" si="48"/>
        <v>检验费</v>
      </c>
    </row>
    <row r="156" spans="1:5">
      <c r="A156" s="1" t="str">
        <f>"尿蛋白定量(各种化学方法)"</f>
        <v>尿蛋白定量(各种化学方法)</v>
      </c>
      <c r="B156" s="1">
        <v>3</v>
      </c>
      <c r="C156" s="1">
        <v>1</v>
      </c>
      <c r="D156" s="1" t="str">
        <f t="shared" si="55"/>
        <v>项</v>
      </c>
      <c r="E156" s="1" t="str">
        <f t="shared" si="48"/>
        <v>检验费</v>
      </c>
    </row>
    <row r="157" spans="1:5">
      <c r="A157" s="1" t="str">
        <f>"尿糖定性试验"</f>
        <v>尿糖定性试验</v>
      </c>
      <c r="B157" s="1" t="str">
        <f>"0.5"</f>
        <v>0.5</v>
      </c>
      <c r="C157" s="1" t="str">
        <f t="shared" si="54"/>
        <v>项</v>
      </c>
      <c r="D157" s="1" t="str">
        <f t="shared" si="55"/>
        <v>项</v>
      </c>
      <c r="E157" s="1" t="str">
        <f t="shared" si="48"/>
        <v>检验费</v>
      </c>
    </row>
    <row r="158" spans="1:5">
      <c r="A158" s="1" t="str">
        <f>"尿糖定量测定"</f>
        <v>尿糖定量测定</v>
      </c>
      <c r="B158" s="1">
        <v>3</v>
      </c>
      <c r="C158" s="1" t="str">
        <f t="shared" si="54"/>
        <v>项</v>
      </c>
      <c r="D158" s="1" t="str">
        <f t="shared" si="55"/>
        <v>项</v>
      </c>
      <c r="E158" s="1" t="str">
        <f t="shared" si="48"/>
        <v>检验费</v>
      </c>
    </row>
    <row r="159" spans="1:5">
      <c r="A159" s="1" t="str">
        <f>"尿酮体定性试验"</f>
        <v>尿酮体定性试验</v>
      </c>
      <c r="B159" s="1" t="str">
        <f>"0.5"</f>
        <v>0.5</v>
      </c>
      <c r="C159" s="1" t="str">
        <f t="shared" si="54"/>
        <v>项</v>
      </c>
      <c r="D159" s="1" t="str">
        <f t="shared" si="55"/>
        <v>项</v>
      </c>
      <c r="E159" s="1" t="str">
        <f t="shared" si="48"/>
        <v>检验费</v>
      </c>
    </row>
    <row r="160" spans="1:5">
      <c r="A160" s="1" t="str">
        <f>"尿三胆检查"</f>
        <v>尿三胆检查</v>
      </c>
      <c r="B160" s="1">
        <v>1</v>
      </c>
      <c r="C160" s="1" t="str">
        <f t="shared" si="54"/>
        <v>项</v>
      </c>
      <c r="D160" s="1" t="str">
        <f t="shared" si="55"/>
        <v>项</v>
      </c>
      <c r="E160" s="1" t="str">
        <f t="shared" si="48"/>
        <v>检验费</v>
      </c>
    </row>
    <row r="161" spans="1:5">
      <c r="A161" s="1" t="str">
        <f>"尿乳糜定性检查"</f>
        <v>尿乳糜定性检查</v>
      </c>
      <c r="B161" s="1">
        <v>1</v>
      </c>
      <c r="C161" s="1" t="str">
        <f t="shared" si="54"/>
        <v>项</v>
      </c>
      <c r="D161" s="1" t="str">
        <f t="shared" si="55"/>
        <v>项</v>
      </c>
      <c r="E161" s="1" t="str">
        <f t="shared" si="48"/>
        <v>检验费</v>
      </c>
    </row>
    <row r="162" spans="1:5">
      <c r="A162" s="1" t="str">
        <f>"尿浓缩稀释试验"</f>
        <v>尿浓缩稀释试验</v>
      </c>
      <c r="B162" s="1">
        <v>2</v>
      </c>
      <c r="C162" s="1" t="str">
        <f t="shared" si="54"/>
        <v>项</v>
      </c>
      <c r="D162" s="1" t="str">
        <f t="shared" si="55"/>
        <v>项</v>
      </c>
      <c r="E162" s="1" t="str">
        <f t="shared" si="48"/>
        <v>检验费</v>
      </c>
    </row>
    <row r="163" spans="1:5">
      <c r="A163" s="1" t="str">
        <f>"尿酚红排泄试验(PSP)"</f>
        <v>尿酚红排泄试验(PSP)</v>
      </c>
      <c r="B163" s="1">
        <v>2</v>
      </c>
      <c r="C163" s="1" t="str">
        <f t="shared" si="54"/>
        <v>项</v>
      </c>
      <c r="D163" s="1" t="str">
        <f t="shared" si="55"/>
        <v>项</v>
      </c>
      <c r="E163" s="1" t="str">
        <f t="shared" si="48"/>
        <v>检验费</v>
      </c>
    </row>
    <row r="164" spans="1:5">
      <c r="A164" s="1" t="str">
        <f>"尿妊娠试验"</f>
        <v>尿妊娠试验</v>
      </c>
      <c r="B164" s="1">
        <v>7</v>
      </c>
      <c r="C164" s="1" t="str">
        <f t="shared" si="54"/>
        <v>项</v>
      </c>
      <c r="D164" s="1" t="str">
        <f t="shared" si="55"/>
        <v>项</v>
      </c>
      <c r="E164" s="1" t="str">
        <f t="shared" si="48"/>
        <v>检验费</v>
      </c>
    </row>
    <row r="165" spans="1:5">
      <c r="A165" s="1" t="str">
        <f>"尿沉渣定量"</f>
        <v>尿沉渣定量</v>
      </c>
      <c r="B165" s="1">
        <v>20</v>
      </c>
      <c r="C165" s="1" t="str">
        <f t="shared" si="54"/>
        <v>项</v>
      </c>
      <c r="D165" s="1" t="str">
        <f t="shared" si="55"/>
        <v>项</v>
      </c>
      <c r="E165" s="1" t="str">
        <f t="shared" si="48"/>
        <v>检验费</v>
      </c>
    </row>
    <row r="166" spans="1:5">
      <c r="A166" s="1" t="str">
        <f>"尿三杯试验"</f>
        <v>尿三杯试验</v>
      </c>
      <c r="B166" s="1">
        <v>2</v>
      </c>
      <c r="C166" s="1" t="str">
        <f t="shared" si="54"/>
        <v>项</v>
      </c>
      <c r="D166" s="1" t="str">
        <f t="shared" si="55"/>
        <v>项</v>
      </c>
      <c r="E166" s="1" t="str">
        <f t="shared" si="48"/>
        <v>检验费</v>
      </c>
    </row>
    <row r="167" spans="1:5">
      <c r="A167" s="1" t="str">
        <f>"尿常规化学检测"</f>
        <v>尿常规化学检测</v>
      </c>
      <c r="B167" s="1">
        <v>5</v>
      </c>
      <c r="C167" s="1" t="str">
        <f t="shared" ref="C167:C174" si="56">"次"</f>
        <v>次</v>
      </c>
      <c r="D167" s="1" t="str">
        <f t="shared" ref="D167:D174" si="57">"次"</f>
        <v>次</v>
      </c>
      <c r="E167" s="1" t="str">
        <f t="shared" si="48"/>
        <v>检验费</v>
      </c>
    </row>
    <row r="168" spans="1:5">
      <c r="A168" s="1" t="str">
        <f>"尿碘快速测定"</f>
        <v>尿碘快速测定</v>
      </c>
      <c r="B168" s="1">
        <v>25</v>
      </c>
      <c r="C168" s="1" t="str">
        <f t="shared" ref="C168:C171" si="58">"项"</f>
        <v>项</v>
      </c>
      <c r="D168" s="1" t="str">
        <f t="shared" ref="D168:D171" si="59">"项"</f>
        <v>项</v>
      </c>
      <c r="E168" s="1" t="str">
        <f t="shared" si="48"/>
        <v>检验费</v>
      </c>
    </row>
    <row r="169" spans="1:5">
      <c r="A169" s="1" t="str">
        <f>"粪便常规"</f>
        <v>粪便常规</v>
      </c>
      <c r="B169" s="1">
        <v>5</v>
      </c>
      <c r="C169" s="1" t="str">
        <f t="shared" si="56"/>
        <v>次</v>
      </c>
      <c r="D169" s="1" t="str">
        <f t="shared" si="57"/>
        <v>次</v>
      </c>
      <c r="E169" s="1" t="str">
        <f t="shared" si="48"/>
        <v>检验费</v>
      </c>
    </row>
    <row r="170" spans="1:5">
      <c r="A170" s="1" t="str">
        <f>"粪便隐血试验(OB)"</f>
        <v>粪便隐血试验(OB)</v>
      </c>
      <c r="B170" s="1">
        <v>12</v>
      </c>
      <c r="C170" s="1" t="str">
        <f t="shared" si="58"/>
        <v>项</v>
      </c>
      <c r="D170" s="1" t="str">
        <f t="shared" si="59"/>
        <v>项</v>
      </c>
      <c r="E170" s="1" t="str">
        <f t="shared" si="48"/>
        <v>检验费</v>
      </c>
    </row>
    <row r="171" spans="1:5">
      <c r="A171" s="1" t="str">
        <f>"乳糖耐受试验"</f>
        <v>乳糖耐受试验</v>
      </c>
      <c r="B171" s="1">
        <v>35</v>
      </c>
      <c r="C171" s="1" t="str">
        <f t="shared" si="58"/>
        <v>项</v>
      </c>
      <c r="D171" s="1" t="str">
        <f t="shared" si="59"/>
        <v>项</v>
      </c>
      <c r="E171" s="1" t="str">
        <f t="shared" si="48"/>
        <v>检验费</v>
      </c>
    </row>
    <row r="172" spans="1:5">
      <c r="A172" s="1" t="str">
        <f>"胸腹水常规检查"</f>
        <v>胸腹水常规检查</v>
      </c>
      <c r="B172" s="1">
        <v>10</v>
      </c>
      <c r="C172" s="1" t="str">
        <f t="shared" si="56"/>
        <v>次</v>
      </c>
      <c r="D172" s="1" t="str">
        <f t="shared" si="57"/>
        <v>次</v>
      </c>
      <c r="E172" s="1" t="str">
        <f t="shared" si="48"/>
        <v>检验费</v>
      </c>
    </row>
    <row r="173" spans="1:5">
      <c r="A173" s="1" t="str">
        <f>"胸腹水特殊检查"</f>
        <v>胸腹水特殊检查</v>
      </c>
      <c r="B173" s="1">
        <v>8</v>
      </c>
      <c r="C173" s="1" t="str">
        <f t="shared" si="56"/>
        <v>次</v>
      </c>
      <c r="D173" s="1" t="str">
        <f t="shared" si="57"/>
        <v>次</v>
      </c>
      <c r="E173" s="1" t="str">
        <f t="shared" si="48"/>
        <v>检验费</v>
      </c>
    </row>
    <row r="174" spans="1:5">
      <c r="A174" s="1" t="str">
        <f>"精液常规检查"</f>
        <v>精液常规检查</v>
      </c>
      <c r="B174" s="1">
        <v>10</v>
      </c>
      <c r="C174" s="1" t="str">
        <f t="shared" si="56"/>
        <v>次</v>
      </c>
      <c r="D174" s="1" t="str">
        <f t="shared" si="57"/>
        <v>次</v>
      </c>
      <c r="E174" s="1" t="str">
        <f t="shared" si="48"/>
        <v>检验费</v>
      </c>
    </row>
    <row r="175" spans="1:5">
      <c r="A175" s="1" t="str">
        <f>"精子运动轨迹分析"</f>
        <v>精子运动轨迹分析</v>
      </c>
      <c r="B175" s="1">
        <v>3</v>
      </c>
      <c r="C175" s="1" t="str">
        <f t="shared" ref="C175:C177" si="60">"项"</f>
        <v>项</v>
      </c>
      <c r="D175" s="1" t="str">
        <f t="shared" ref="D175:D177" si="61">"项"</f>
        <v>项</v>
      </c>
      <c r="E175" s="1" t="str">
        <f t="shared" si="48"/>
        <v>检验费</v>
      </c>
    </row>
    <row r="176" spans="1:5">
      <c r="A176" s="1" t="str">
        <f>"精子顶体完整率检查"</f>
        <v>精子顶体完整率检查</v>
      </c>
      <c r="B176" s="1">
        <v>2</v>
      </c>
      <c r="C176" s="1" t="str">
        <f t="shared" si="60"/>
        <v>项</v>
      </c>
      <c r="D176" s="1" t="str">
        <f t="shared" si="61"/>
        <v>项</v>
      </c>
      <c r="E176" s="1" t="str">
        <f t="shared" si="48"/>
        <v>检验费</v>
      </c>
    </row>
    <row r="177" spans="1:5">
      <c r="A177" s="1" t="str">
        <f>"前列腺液常规检查"</f>
        <v>前列腺液常规检查</v>
      </c>
      <c r="B177" s="1">
        <v>2</v>
      </c>
      <c r="C177" s="1" t="str">
        <f t="shared" si="60"/>
        <v>项</v>
      </c>
      <c r="D177" s="1" t="str">
        <f t="shared" si="61"/>
        <v>项</v>
      </c>
      <c r="E177" s="1" t="str">
        <f t="shared" si="48"/>
        <v>检验费</v>
      </c>
    </row>
    <row r="178" spans="1:5">
      <c r="A178" s="1" t="str">
        <f>"阴道分泌物检查"</f>
        <v>阴道分泌物检查</v>
      </c>
      <c r="B178" s="1">
        <v>7</v>
      </c>
      <c r="C178" s="1" t="str">
        <f>"次"</f>
        <v>次</v>
      </c>
      <c r="D178" s="1" t="str">
        <f>"次"</f>
        <v>次</v>
      </c>
      <c r="E178" s="1" t="str">
        <f t="shared" si="48"/>
        <v>检验费</v>
      </c>
    </row>
    <row r="179" spans="1:5">
      <c r="A179" s="1" t="str">
        <f>"细菌性阴道炎检查（白细胞酯梅）"</f>
        <v>细菌性阴道炎检查（白细胞酯梅）</v>
      </c>
      <c r="B179" s="1">
        <v>11</v>
      </c>
      <c r="C179" s="1" t="str">
        <f t="shared" ref="C179:C184" si="62">"项"</f>
        <v>项</v>
      </c>
      <c r="D179" s="1" t="str">
        <f t="shared" ref="D179:D184" si="63">"项"</f>
        <v>项</v>
      </c>
      <c r="E179" s="1" t="str">
        <f t="shared" si="48"/>
        <v>检验费</v>
      </c>
    </row>
    <row r="180" spans="1:5">
      <c r="A180" s="1" t="str">
        <f>"细菌性阴道炎检查（过氧化氢浓度）"</f>
        <v>细菌性阴道炎检查（过氧化氢浓度）</v>
      </c>
      <c r="B180" s="1">
        <v>11</v>
      </c>
      <c r="C180" s="1" t="str">
        <f t="shared" si="62"/>
        <v>项</v>
      </c>
      <c r="D180" s="1" t="str">
        <f t="shared" si="63"/>
        <v>项</v>
      </c>
      <c r="E180" s="1" t="str">
        <f t="shared" si="48"/>
        <v>检验费</v>
      </c>
    </row>
    <row r="181" spans="1:5">
      <c r="A181" s="1" t="str">
        <f>"细菌性阴道炎检查（葡萄糖酸苷酶）"</f>
        <v>细菌性阴道炎检查（葡萄糖酸苷酶）</v>
      </c>
      <c r="B181" s="1">
        <v>11</v>
      </c>
      <c r="C181" s="1" t="str">
        <f t="shared" si="62"/>
        <v>项</v>
      </c>
      <c r="D181" s="1" t="str">
        <f t="shared" si="63"/>
        <v>项</v>
      </c>
      <c r="E181" s="1" t="str">
        <f t="shared" si="48"/>
        <v>检验费</v>
      </c>
    </row>
    <row r="182" spans="1:5">
      <c r="A182" s="1" t="str">
        <f>"细菌性阴道炎检查(唾液酸苷酶）"</f>
        <v>细菌性阴道炎检查(唾液酸苷酶）</v>
      </c>
      <c r="B182" s="1">
        <v>11</v>
      </c>
      <c r="C182" s="1" t="str">
        <f t="shared" si="62"/>
        <v>项</v>
      </c>
      <c r="D182" s="1" t="str">
        <f t="shared" si="63"/>
        <v>项</v>
      </c>
      <c r="E182" s="1" t="str">
        <f t="shared" si="48"/>
        <v>检验费</v>
      </c>
    </row>
    <row r="183" spans="1:5">
      <c r="A183" s="1" t="str">
        <f>"细菌性阴道炎检查（乙酰氨基葡萄糖）"</f>
        <v>细菌性阴道炎检查（乙酰氨基葡萄糖）</v>
      </c>
      <c r="B183" s="1">
        <v>11</v>
      </c>
      <c r="C183" s="1" t="str">
        <f t="shared" si="62"/>
        <v>项</v>
      </c>
      <c r="D183" s="1" t="str">
        <f t="shared" si="63"/>
        <v>项</v>
      </c>
      <c r="E183" s="1" t="str">
        <f t="shared" si="48"/>
        <v>检验费</v>
      </c>
    </row>
    <row r="184" spans="1:5">
      <c r="A184" s="1" t="str">
        <f>"细菌性阴道炎检查(凝固酶)"</f>
        <v>细菌性阴道炎检查(凝固酶)</v>
      </c>
      <c r="B184" s="1">
        <v>11</v>
      </c>
      <c r="C184" s="1" t="str">
        <f t="shared" si="62"/>
        <v>项</v>
      </c>
      <c r="D184" s="1" t="str">
        <f t="shared" si="63"/>
        <v>项</v>
      </c>
      <c r="E184" s="1" t="str">
        <f t="shared" si="48"/>
        <v>检验费</v>
      </c>
    </row>
    <row r="185" spans="1:5">
      <c r="A185" s="1" t="str">
        <f>"阴道分泌物胺测定"</f>
        <v>阴道分泌物胺测定</v>
      </c>
      <c r="B185" s="1">
        <v>20</v>
      </c>
      <c r="C185" s="1" t="str">
        <f t="shared" ref="C185:C188" si="64">"次"</f>
        <v>次</v>
      </c>
      <c r="D185" s="1" t="str">
        <f t="shared" ref="D185:D188" si="65">"次"</f>
        <v>次</v>
      </c>
      <c r="E185" s="1" t="str">
        <f t="shared" si="48"/>
        <v>检验费</v>
      </c>
    </row>
    <row r="186" spans="1:5">
      <c r="A186" s="1" t="str">
        <f>"白色念珠菌抗原检测（免疫学方法）"</f>
        <v>白色念珠菌抗原检测（免疫学方法）</v>
      </c>
      <c r="B186" s="1">
        <v>40</v>
      </c>
      <c r="C186" s="1" t="str">
        <f t="shared" ref="C186:C196" si="66">"项"</f>
        <v>项</v>
      </c>
      <c r="D186" s="1" t="str">
        <f t="shared" ref="D186:D196" si="67">"项"</f>
        <v>项</v>
      </c>
      <c r="E186" s="1" t="str">
        <f t="shared" si="48"/>
        <v>检验费</v>
      </c>
    </row>
    <row r="187" spans="1:5">
      <c r="A187" s="1" t="str">
        <f>"痰液常规检查"</f>
        <v>痰液常规检查</v>
      </c>
      <c r="B187" s="1">
        <v>2</v>
      </c>
      <c r="C187" s="1" t="str">
        <f t="shared" si="64"/>
        <v>次</v>
      </c>
      <c r="D187" s="1" t="str">
        <f t="shared" si="65"/>
        <v>次</v>
      </c>
      <c r="E187" s="1" t="str">
        <f t="shared" si="48"/>
        <v>检验费</v>
      </c>
    </row>
    <row r="188" spans="1:5">
      <c r="A188" s="1" t="str">
        <f>"各种穿刺液常规检查"</f>
        <v>各种穿刺液常规检查</v>
      </c>
      <c r="B188" s="1">
        <v>2</v>
      </c>
      <c r="C188" s="1" t="str">
        <f t="shared" si="64"/>
        <v>次</v>
      </c>
      <c r="D188" s="1" t="str">
        <f t="shared" si="65"/>
        <v>次</v>
      </c>
      <c r="E188" s="1" t="str">
        <f t="shared" si="48"/>
        <v>检验费</v>
      </c>
    </row>
    <row r="189" spans="1:5">
      <c r="A189" s="1" t="str">
        <f>"血浆凝血酶原时间测定(PT)(电化学法)"</f>
        <v>血浆凝血酶原时间测定(PT)(电化学法)</v>
      </c>
      <c r="B189" s="1">
        <v>70</v>
      </c>
      <c r="C189" s="1" t="str">
        <f t="shared" si="66"/>
        <v>项</v>
      </c>
      <c r="D189" s="1" t="str">
        <f t="shared" si="67"/>
        <v>项</v>
      </c>
      <c r="E189" s="1" t="str">
        <f t="shared" si="48"/>
        <v>检验费</v>
      </c>
    </row>
    <row r="190" spans="1:5">
      <c r="A190" s="1" t="str">
        <f>"白陶土部分凝血活酶时间测定(KPTT)(仪器法)"</f>
        <v>白陶土部分凝血活酶时间测定(KPTT)(仪器法)</v>
      </c>
      <c r="B190" s="1">
        <v>15</v>
      </c>
      <c r="C190" s="1" t="str">
        <f t="shared" si="66"/>
        <v>项</v>
      </c>
      <c r="D190" s="1" t="str">
        <f t="shared" si="67"/>
        <v>项</v>
      </c>
      <c r="E190" s="1" t="str">
        <f t="shared" si="48"/>
        <v>检验费</v>
      </c>
    </row>
    <row r="191" spans="1:5">
      <c r="A191" s="1" t="str">
        <f>"活化部分凝血活酶时间测定(APTT)"</f>
        <v>活化部分凝血活酶时间测定(APTT)</v>
      </c>
      <c r="B191" s="1">
        <v>15</v>
      </c>
      <c r="C191" s="1" t="str">
        <f t="shared" si="66"/>
        <v>项</v>
      </c>
      <c r="D191" s="1" t="str">
        <f t="shared" si="67"/>
        <v>项</v>
      </c>
      <c r="E191" s="1" t="str">
        <f t="shared" si="48"/>
        <v>检验费</v>
      </c>
    </row>
    <row r="192" spans="1:5">
      <c r="A192" s="1" t="str">
        <f>"活化凝血时间测定（ACT）"</f>
        <v>活化凝血时间测定（ACT）</v>
      </c>
      <c r="B192" s="1">
        <v>10</v>
      </c>
      <c r="C192" s="1" t="str">
        <f t="shared" si="66"/>
        <v>项</v>
      </c>
      <c r="D192" s="1" t="str">
        <f t="shared" si="67"/>
        <v>项</v>
      </c>
      <c r="E192" s="1" t="str">
        <f t="shared" si="48"/>
        <v>检验费</v>
      </c>
    </row>
    <row r="193" spans="1:5">
      <c r="A193" s="1" t="str">
        <f>"(FIB)血浆纤维蛋白原测定"</f>
        <v>(FIB)血浆纤维蛋白原测定</v>
      </c>
      <c r="B193" s="1">
        <v>15</v>
      </c>
      <c r="C193" s="1" t="str">
        <f t="shared" si="66"/>
        <v>项</v>
      </c>
      <c r="D193" s="1" t="str">
        <f t="shared" si="67"/>
        <v>项</v>
      </c>
      <c r="E193" s="1" t="str">
        <f t="shared" si="48"/>
        <v>检验费</v>
      </c>
    </row>
    <row r="194" spans="1:5">
      <c r="A194" s="1" t="str">
        <f>"凝血酶时间测定(TT)"</f>
        <v>凝血酶时间测定(TT)</v>
      </c>
      <c r="B194" s="1">
        <v>12</v>
      </c>
      <c r="C194" s="1" t="str">
        <f t="shared" si="66"/>
        <v>项</v>
      </c>
      <c r="D194" s="1" t="str">
        <f t="shared" si="67"/>
        <v>项</v>
      </c>
      <c r="E194" s="1" t="str">
        <f t="shared" si="48"/>
        <v>检验费</v>
      </c>
    </row>
    <row r="195" spans="1:5">
      <c r="A195" s="1" t="str">
        <f>"血浆D-二聚体测定(D-Dimer)"</f>
        <v>血浆D-二聚体测定(D-Dimer)</v>
      </c>
      <c r="B195" s="1">
        <v>30</v>
      </c>
      <c r="C195" s="1" t="str">
        <f t="shared" si="66"/>
        <v>项</v>
      </c>
      <c r="D195" s="1" t="str">
        <f t="shared" si="67"/>
        <v>项</v>
      </c>
      <c r="E195" s="1" t="str">
        <f t="shared" si="48"/>
        <v>检验费</v>
      </c>
    </row>
    <row r="196" spans="1:5">
      <c r="A196" s="1" t="str">
        <f>"血浆D-二聚体测定(D-Dimer)仪器法"</f>
        <v>血浆D-二聚体测定(D-Dimer)仪器法</v>
      </c>
      <c r="B196" s="1">
        <v>56</v>
      </c>
      <c r="C196" s="1" t="str">
        <f t="shared" si="66"/>
        <v>项</v>
      </c>
      <c r="D196" s="1" t="str">
        <f t="shared" si="67"/>
        <v>项</v>
      </c>
      <c r="E196" s="1" t="str">
        <f t="shared" si="48"/>
        <v>检验费</v>
      </c>
    </row>
    <row r="197" spans="1:5">
      <c r="A197" s="1" t="str">
        <f>"红细胞流变特性检测"</f>
        <v>红细胞流变特性检测</v>
      </c>
      <c r="B197" s="1">
        <v>15</v>
      </c>
      <c r="C197" s="1" t="str">
        <f>"次"</f>
        <v>次</v>
      </c>
      <c r="D197" s="1" t="str">
        <f>"次"</f>
        <v>次</v>
      </c>
      <c r="E197" s="1" t="str">
        <f t="shared" si="48"/>
        <v>检验费</v>
      </c>
    </row>
    <row r="198" spans="1:5">
      <c r="A198" s="1" t="str">
        <f>"全血粘度测定（低切）"</f>
        <v>全血粘度测定（低切）</v>
      </c>
      <c r="B198" s="1">
        <v>15</v>
      </c>
      <c r="C198" s="1" t="str">
        <f t="shared" ref="C198:C206" si="68">"项"</f>
        <v>项</v>
      </c>
      <c r="D198" s="1" t="str">
        <f t="shared" ref="D198:D205" si="69">"项"</f>
        <v>项</v>
      </c>
      <c r="E198" s="1" t="str">
        <f t="shared" si="48"/>
        <v>检验费</v>
      </c>
    </row>
    <row r="199" spans="1:5">
      <c r="A199" s="1" t="str">
        <f>"全血粘度测定（中切）"</f>
        <v>全血粘度测定（中切）</v>
      </c>
      <c r="B199" s="1">
        <v>15</v>
      </c>
      <c r="C199" s="1" t="str">
        <f t="shared" si="68"/>
        <v>项</v>
      </c>
      <c r="D199" s="1" t="str">
        <f t="shared" si="69"/>
        <v>项</v>
      </c>
      <c r="E199" s="1" t="str">
        <f t="shared" ref="E199:E262" si="70">"检验费"</f>
        <v>检验费</v>
      </c>
    </row>
    <row r="200" spans="1:5">
      <c r="A200" s="1" t="str">
        <f>"全血粘度测定（高切）"</f>
        <v>全血粘度测定（高切）</v>
      </c>
      <c r="B200" s="1">
        <v>15</v>
      </c>
      <c r="C200" s="1" t="str">
        <f t="shared" si="68"/>
        <v>项</v>
      </c>
      <c r="D200" s="1" t="str">
        <f t="shared" si="69"/>
        <v>项</v>
      </c>
      <c r="E200" s="1" t="str">
        <f t="shared" si="70"/>
        <v>检验费</v>
      </c>
    </row>
    <row r="201" spans="1:5">
      <c r="A201" s="1" t="str">
        <f>"血浆粘度测定"</f>
        <v>血浆粘度测定</v>
      </c>
      <c r="B201" s="1">
        <v>5</v>
      </c>
      <c r="C201" s="1" t="str">
        <f t="shared" si="68"/>
        <v>项</v>
      </c>
      <c r="D201" s="1" t="str">
        <f t="shared" si="69"/>
        <v>项</v>
      </c>
      <c r="E201" s="1" t="str">
        <f t="shared" si="70"/>
        <v>检验费</v>
      </c>
    </row>
    <row r="202" spans="1:5">
      <c r="A202" s="1" t="str">
        <f>"血清总蛋白测定化学法"</f>
        <v>血清总蛋白测定化学法</v>
      </c>
      <c r="B202" s="1">
        <v>4</v>
      </c>
      <c r="C202" s="1" t="str">
        <f t="shared" si="68"/>
        <v>项</v>
      </c>
      <c r="D202" s="1" t="str">
        <f t="shared" si="69"/>
        <v>项</v>
      </c>
      <c r="E202" s="1" t="str">
        <f t="shared" si="70"/>
        <v>检验费</v>
      </c>
    </row>
    <row r="203" spans="1:5">
      <c r="A203" s="1" t="str">
        <f>"血清白蛋白测定化学法"</f>
        <v>血清白蛋白测定化学法</v>
      </c>
      <c r="B203" s="1">
        <v>4</v>
      </c>
      <c r="C203" s="1" t="str">
        <f t="shared" si="68"/>
        <v>项</v>
      </c>
      <c r="D203" s="1" t="str">
        <f t="shared" si="69"/>
        <v>项</v>
      </c>
      <c r="E203" s="1" t="str">
        <f t="shared" si="70"/>
        <v>检验费</v>
      </c>
    </row>
    <row r="204" spans="1:5">
      <c r="A204" s="1" t="str">
        <f>"超敏C反应蛋白测定（各种免疫学方法）"</f>
        <v>超敏C反应蛋白测定（各种免疫学方法）</v>
      </c>
      <c r="B204" s="1">
        <v>30</v>
      </c>
      <c r="C204" s="1" t="str">
        <f t="shared" si="68"/>
        <v>项</v>
      </c>
      <c r="D204" s="1" t="str">
        <f t="shared" si="69"/>
        <v>项</v>
      </c>
      <c r="E204" s="1" t="str">
        <f t="shared" si="70"/>
        <v>检验费</v>
      </c>
    </row>
    <row r="205" spans="1:5">
      <c r="A205" s="1" t="str">
        <f>"高敏感C-反应蛋白测定（免疫比浊终点法）"</f>
        <v>高敏感C-反应蛋白测定（免疫比浊终点法）</v>
      </c>
      <c r="B205" s="1">
        <v>35</v>
      </c>
      <c r="C205" s="1" t="str">
        <f t="shared" si="68"/>
        <v>项</v>
      </c>
      <c r="D205" s="1" t="str">
        <f t="shared" si="69"/>
        <v>项</v>
      </c>
      <c r="E205" s="1" t="str">
        <f t="shared" si="70"/>
        <v>检验费</v>
      </c>
    </row>
    <row r="206" spans="1:5">
      <c r="A206" s="1" t="str">
        <f>"血清淀粉样蛋白A测定"</f>
        <v>血清淀粉样蛋白A测定</v>
      </c>
      <c r="B206" s="1">
        <v>30</v>
      </c>
      <c r="C206" s="1" t="str">
        <f t="shared" si="68"/>
        <v>项</v>
      </c>
      <c r="D206" s="1" t="str">
        <f t="shared" ref="D206:D212" si="71">"次"</f>
        <v>次</v>
      </c>
      <c r="E206" s="1" t="str">
        <f t="shared" si="70"/>
        <v>检验费</v>
      </c>
    </row>
    <row r="207" spans="1:5">
      <c r="A207" s="1" t="str">
        <f>"葡萄糖测定"</f>
        <v>葡萄糖测定</v>
      </c>
      <c r="B207" s="1">
        <v>4</v>
      </c>
      <c r="C207" s="1" t="str">
        <f t="shared" ref="C207:C212" si="72">"次"</f>
        <v>次</v>
      </c>
      <c r="D207" s="1" t="str">
        <f t="shared" si="71"/>
        <v>次</v>
      </c>
      <c r="E207" s="1" t="str">
        <f t="shared" si="70"/>
        <v>检验费</v>
      </c>
    </row>
    <row r="208" spans="1:5">
      <c r="A208" s="1" t="str">
        <f>"葡萄糖测定（各种酶法、酶电极法）(脑脊液)"</f>
        <v>葡萄糖测定（各种酶法、酶电极法）(脑脊液)</v>
      </c>
      <c r="B208" s="1">
        <v>4</v>
      </c>
      <c r="C208" s="1">
        <v>1</v>
      </c>
      <c r="D208" s="1" t="str">
        <f t="shared" si="71"/>
        <v>次</v>
      </c>
      <c r="E208" s="1" t="str">
        <f t="shared" si="70"/>
        <v>检验费</v>
      </c>
    </row>
    <row r="209" spans="1:5">
      <c r="A209" s="1" t="str">
        <f>"葡萄糖测定（各种酶法、酶电极法）(尿标本)"</f>
        <v>葡萄糖测定（各种酶法、酶电极法）(尿标本)</v>
      </c>
      <c r="B209" s="1">
        <v>4</v>
      </c>
      <c r="C209" s="1">
        <v>1</v>
      </c>
      <c r="D209" s="1" t="str">
        <f t="shared" si="71"/>
        <v>次</v>
      </c>
      <c r="E209" s="1" t="str">
        <f t="shared" si="70"/>
        <v>检验费</v>
      </c>
    </row>
    <row r="210" spans="1:5">
      <c r="A210" s="1" t="str">
        <f>"葡萄糖测定（各种酶法、酶电极法）(血清)"</f>
        <v>葡萄糖测定（各种酶法、酶电极法）(血清)</v>
      </c>
      <c r="B210" s="1">
        <v>4</v>
      </c>
      <c r="C210" s="1">
        <v>1</v>
      </c>
      <c r="D210" s="1" t="str">
        <f t="shared" si="71"/>
        <v>次</v>
      </c>
      <c r="E210" s="1" t="str">
        <f t="shared" si="70"/>
        <v>检验费</v>
      </c>
    </row>
    <row r="211" spans="1:5">
      <c r="A211" s="1" t="str">
        <f>"糖化血红蛋白测定（各种免疫学方法）"</f>
        <v>糖化血红蛋白测定（各种免疫学方法）</v>
      </c>
      <c r="B211" s="1">
        <v>30</v>
      </c>
      <c r="C211" s="1" t="str">
        <f t="shared" si="72"/>
        <v>次</v>
      </c>
      <c r="D211" s="1" t="str">
        <f t="shared" si="71"/>
        <v>次</v>
      </c>
      <c r="E211" s="1" t="str">
        <f t="shared" si="70"/>
        <v>检验费</v>
      </c>
    </row>
    <row r="212" spans="1:5">
      <c r="A212" s="1" t="str">
        <f>"糖化血红蛋白测定"</f>
        <v>糖化血红蛋白测定</v>
      </c>
      <c r="B212" s="1">
        <v>30</v>
      </c>
      <c r="C212" s="1" t="str">
        <f t="shared" si="72"/>
        <v>次</v>
      </c>
      <c r="D212" s="1" t="str">
        <f t="shared" si="71"/>
        <v>次</v>
      </c>
      <c r="E212" s="1" t="str">
        <f t="shared" si="70"/>
        <v>检验费</v>
      </c>
    </row>
    <row r="213" spans="1:5">
      <c r="A213" s="1" t="str">
        <f>"血清总胆固醇测定化学法、酶法"</f>
        <v>血清总胆固醇测定化学法、酶法</v>
      </c>
      <c r="B213" s="1">
        <v>4</v>
      </c>
      <c r="C213" s="1" t="str">
        <f t="shared" ref="C213:C218" si="73">"项"</f>
        <v>项</v>
      </c>
      <c r="D213" s="1" t="str">
        <f t="shared" ref="D213:D219" si="74">"项"</f>
        <v>项</v>
      </c>
      <c r="E213" s="1" t="str">
        <f t="shared" si="70"/>
        <v>检验费</v>
      </c>
    </row>
    <row r="214" spans="1:5">
      <c r="A214" s="1" t="str">
        <f>"血清甘油三酯测定化学法、酶法"</f>
        <v>血清甘油三酯测定化学法、酶法</v>
      </c>
      <c r="B214" s="1">
        <v>5</v>
      </c>
      <c r="C214" s="1" t="str">
        <f t="shared" si="73"/>
        <v>项</v>
      </c>
      <c r="D214" s="1" t="str">
        <f t="shared" si="74"/>
        <v>项</v>
      </c>
      <c r="E214" s="1" t="str">
        <f t="shared" si="70"/>
        <v>检验费</v>
      </c>
    </row>
    <row r="215" spans="1:5">
      <c r="A215" s="1" t="str">
        <f>"血清高密度脂蛋白胆固醇测定"</f>
        <v>血清高密度脂蛋白胆固醇测定</v>
      </c>
      <c r="B215" s="1">
        <v>8</v>
      </c>
      <c r="C215" s="1" t="str">
        <f t="shared" si="73"/>
        <v>项</v>
      </c>
      <c r="D215" s="1" t="str">
        <f t="shared" si="74"/>
        <v>项</v>
      </c>
      <c r="E215" s="1" t="str">
        <f t="shared" si="70"/>
        <v>检验费</v>
      </c>
    </row>
    <row r="216" spans="1:5">
      <c r="A216" s="1" t="str">
        <f>"血清低密度脂蛋白胆固醇测定其他方法"</f>
        <v>血清低密度脂蛋白胆固醇测定其他方法</v>
      </c>
      <c r="B216" s="1">
        <v>4</v>
      </c>
      <c r="C216" s="1" t="str">
        <f t="shared" si="73"/>
        <v>项</v>
      </c>
      <c r="D216" s="1" t="str">
        <f t="shared" si="74"/>
        <v>项</v>
      </c>
      <c r="E216" s="1" t="str">
        <f t="shared" si="70"/>
        <v>检验费</v>
      </c>
    </row>
    <row r="217" spans="1:5">
      <c r="A217" s="1" t="str">
        <f>"血清载脂蛋白AⅠ测定"</f>
        <v>血清载脂蛋白AⅠ测定</v>
      </c>
      <c r="B217" s="1">
        <v>25</v>
      </c>
      <c r="C217" s="1" t="str">
        <f t="shared" si="73"/>
        <v>项</v>
      </c>
      <c r="D217" s="1" t="str">
        <f t="shared" si="74"/>
        <v>项</v>
      </c>
      <c r="E217" s="1" t="str">
        <f t="shared" si="70"/>
        <v>检验费</v>
      </c>
    </row>
    <row r="218" spans="1:5">
      <c r="A218" s="1" t="str">
        <f>"血清载脂蛋白B测定"</f>
        <v>血清载脂蛋白B测定</v>
      </c>
      <c r="B218" s="1">
        <v>25</v>
      </c>
      <c r="C218" s="1" t="str">
        <f t="shared" si="73"/>
        <v>项</v>
      </c>
      <c r="D218" s="1" t="str">
        <f t="shared" si="74"/>
        <v>项</v>
      </c>
      <c r="E218" s="1" t="str">
        <f t="shared" si="70"/>
        <v>检验费</v>
      </c>
    </row>
    <row r="219" spans="1:5">
      <c r="A219" s="1" t="str">
        <f>"血清载脂蛋白α测定（免疫比浊法）"</f>
        <v>血清载脂蛋白α测定（免疫比浊法）</v>
      </c>
      <c r="B219" s="1">
        <v>25</v>
      </c>
      <c r="C219" s="1" t="str">
        <f>"-"</f>
        <v>-</v>
      </c>
      <c r="D219" s="1" t="str">
        <f t="shared" si="74"/>
        <v>项</v>
      </c>
      <c r="E219" s="1" t="str">
        <f t="shared" si="70"/>
        <v>检验费</v>
      </c>
    </row>
    <row r="220" spans="1:5">
      <c r="A220" s="1" t="str">
        <f>"游离脂肪酸测定"</f>
        <v>游离脂肪酸测定</v>
      </c>
      <c r="B220" s="1">
        <v>48</v>
      </c>
      <c r="C220" s="1">
        <v>1</v>
      </c>
      <c r="D220" s="1" t="str">
        <f>"次"</f>
        <v>次</v>
      </c>
      <c r="E220" s="1" t="str">
        <f t="shared" si="70"/>
        <v>检验费</v>
      </c>
    </row>
    <row r="221" spans="1:5">
      <c r="A221" s="1" t="str">
        <f>"钾测定"</f>
        <v>钾测定</v>
      </c>
      <c r="B221" s="1">
        <v>4</v>
      </c>
      <c r="C221" s="1" t="str">
        <f t="shared" ref="C221:C230" si="75">"项"</f>
        <v>项</v>
      </c>
      <c r="D221" s="1" t="str">
        <f t="shared" ref="D221:D258" si="76">"项"</f>
        <v>项</v>
      </c>
      <c r="E221" s="1" t="str">
        <f t="shared" si="70"/>
        <v>检验费</v>
      </c>
    </row>
    <row r="222" spans="1:5">
      <c r="A222" s="1" t="str">
        <f>"钠测定"</f>
        <v>钠测定</v>
      </c>
      <c r="B222" s="1">
        <v>4</v>
      </c>
      <c r="C222" s="1" t="str">
        <f t="shared" si="75"/>
        <v>项</v>
      </c>
      <c r="D222" s="1" t="str">
        <f t="shared" si="76"/>
        <v>项</v>
      </c>
      <c r="E222" s="1" t="str">
        <f t="shared" si="70"/>
        <v>检验费</v>
      </c>
    </row>
    <row r="223" spans="1:5">
      <c r="A223" s="1" t="str">
        <f>"氯测定"</f>
        <v>氯测定</v>
      </c>
      <c r="B223" s="1">
        <v>4</v>
      </c>
      <c r="C223" s="1" t="str">
        <f t="shared" si="75"/>
        <v>项</v>
      </c>
      <c r="D223" s="1" t="str">
        <f t="shared" si="76"/>
        <v>项</v>
      </c>
      <c r="E223" s="1" t="str">
        <f t="shared" si="70"/>
        <v>检验费</v>
      </c>
    </row>
    <row r="224" spans="1:5">
      <c r="A224" s="1" t="str">
        <f>"钙测定"</f>
        <v>钙测定</v>
      </c>
      <c r="B224" s="1">
        <v>4</v>
      </c>
      <c r="C224" s="1" t="str">
        <f t="shared" si="75"/>
        <v>项</v>
      </c>
      <c r="D224" s="1" t="str">
        <f t="shared" si="76"/>
        <v>项</v>
      </c>
      <c r="E224" s="1" t="str">
        <f t="shared" si="70"/>
        <v>检验费</v>
      </c>
    </row>
    <row r="225" spans="1:5">
      <c r="A225" s="1" t="str">
        <f>"无机磷测定"</f>
        <v>无机磷测定</v>
      </c>
      <c r="B225" s="1">
        <v>4</v>
      </c>
      <c r="C225" s="1" t="str">
        <f t="shared" si="75"/>
        <v>项</v>
      </c>
      <c r="D225" s="1" t="str">
        <f t="shared" si="76"/>
        <v>项</v>
      </c>
      <c r="E225" s="1" t="str">
        <f t="shared" si="70"/>
        <v>检验费</v>
      </c>
    </row>
    <row r="226" spans="1:5">
      <c r="A226" s="1" t="str">
        <f>"铁测定"</f>
        <v>铁测定</v>
      </c>
      <c r="B226" s="1">
        <v>5</v>
      </c>
      <c r="C226" s="1" t="str">
        <f t="shared" si="75"/>
        <v>项</v>
      </c>
      <c r="D226" s="1" t="str">
        <f t="shared" si="76"/>
        <v>项</v>
      </c>
      <c r="E226" s="1" t="str">
        <f t="shared" si="70"/>
        <v>检验费</v>
      </c>
    </row>
    <row r="227" spans="1:5">
      <c r="A227" s="1" t="str">
        <f>"微量元素测定"</f>
        <v>微量元素测定</v>
      </c>
      <c r="B227" s="1">
        <v>6</v>
      </c>
      <c r="C227" s="1" t="str">
        <f t="shared" si="75"/>
        <v>项</v>
      </c>
      <c r="D227" s="1" t="str">
        <f t="shared" si="76"/>
        <v>项</v>
      </c>
      <c r="E227" s="1" t="str">
        <f t="shared" si="70"/>
        <v>检验费</v>
      </c>
    </row>
    <row r="228" spans="1:5">
      <c r="A228" s="1" t="str">
        <f>"微量元素测定(铜)"</f>
        <v>微量元素测定(铜)</v>
      </c>
      <c r="B228" s="1">
        <v>6</v>
      </c>
      <c r="C228" s="1" t="str">
        <f t="shared" si="75"/>
        <v>项</v>
      </c>
      <c r="D228" s="1" t="str">
        <f t="shared" si="76"/>
        <v>项</v>
      </c>
      <c r="E228" s="1" t="str">
        <f t="shared" si="70"/>
        <v>检验费</v>
      </c>
    </row>
    <row r="229" spans="1:5">
      <c r="A229" s="1" t="str">
        <f>"血清总胆红素测定"</f>
        <v>血清总胆红素测定</v>
      </c>
      <c r="B229" s="1">
        <v>4</v>
      </c>
      <c r="C229" s="1" t="str">
        <f t="shared" si="75"/>
        <v>项</v>
      </c>
      <c r="D229" s="1" t="str">
        <f t="shared" si="76"/>
        <v>项</v>
      </c>
      <c r="E229" s="1" t="str">
        <f t="shared" si="70"/>
        <v>检验费</v>
      </c>
    </row>
    <row r="230" spans="1:5">
      <c r="A230" s="1" t="str">
        <f>"血清直接胆红素测定"</f>
        <v>血清直接胆红素测定</v>
      </c>
      <c r="B230" s="1">
        <v>4</v>
      </c>
      <c r="C230" s="1" t="str">
        <f t="shared" si="75"/>
        <v>项</v>
      </c>
      <c r="D230" s="1" t="str">
        <f t="shared" si="76"/>
        <v>项</v>
      </c>
      <c r="E230" s="1" t="str">
        <f t="shared" si="70"/>
        <v>检验费</v>
      </c>
    </row>
    <row r="231" spans="1:5">
      <c r="A231" s="1" t="str">
        <f>"血清间接胆红素测定"</f>
        <v>血清间接胆红素测定</v>
      </c>
      <c r="B231" s="1">
        <v>5</v>
      </c>
      <c r="C231" s="1" t="str">
        <f>"-"</f>
        <v>-</v>
      </c>
      <c r="D231" s="1" t="str">
        <f t="shared" si="76"/>
        <v>项</v>
      </c>
      <c r="E231" s="1" t="str">
        <f t="shared" si="70"/>
        <v>检验费</v>
      </c>
    </row>
    <row r="232" spans="1:5">
      <c r="A232" s="1" t="str">
        <f>"血清总胆汁酸测定"</f>
        <v>血清总胆汁酸测定</v>
      </c>
      <c r="B232" s="1">
        <v>5</v>
      </c>
      <c r="C232" s="1" t="str">
        <f t="shared" ref="C232:C237" si="77">"项"</f>
        <v>项</v>
      </c>
      <c r="D232" s="1" t="str">
        <f t="shared" si="76"/>
        <v>项</v>
      </c>
      <c r="E232" s="1" t="str">
        <f t="shared" si="70"/>
        <v>检验费</v>
      </c>
    </row>
    <row r="233" spans="1:5">
      <c r="A233" s="1" t="str">
        <f>"(ALT)血清丙氨酸氨基转移酶测定"</f>
        <v>(ALT)血清丙氨酸氨基转移酶测定</v>
      </c>
      <c r="B233" s="1">
        <v>5</v>
      </c>
      <c r="C233" s="1" t="str">
        <f t="shared" si="77"/>
        <v>项</v>
      </c>
      <c r="D233" s="1" t="str">
        <f t="shared" si="76"/>
        <v>项</v>
      </c>
      <c r="E233" s="1" t="str">
        <f t="shared" si="70"/>
        <v>检验费</v>
      </c>
    </row>
    <row r="234" spans="1:5">
      <c r="A234" s="1" t="str">
        <f>"(AST)血清天门冬氨酸氨基转移酶测定速率法"</f>
        <v>(AST)血清天门冬氨酸氨基转移酶测定速率法</v>
      </c>
      <c r="B234" s="1">
        <v>5</v>
      </c>
      <c r="C234" s="1" t="str">
        <f t="shared" si="77"/>
        <v>项</v>
      </c>
      <c r="D234" s="1" t="str">
        <f t="shared" si="76"/>
        <v>项</v>
      </c>
      <c r="E234" s="1" t="str">
        <f t="shared" si="70"/>
        <v>检验费</v>
      </c>
    </row>
    <row r="235" spans="1:5">
      <c r="A235" s="1" t="str">
        <f>"血清γ-谷氨酰基转移酶测定速率法"</f>
        <v>血清γ-谷氨酰基转移酶测定速率法</v>
      </c>
      <c r="B235" s="1">
        <v>5</v>
      </c>
      <c r="C235" s="1" t="str">
        <f t="shared" si="77"/>
        <v>项</v>
      </c>
      <c r="D235" s="1" t="str">
        <f t="shared" si="76"/>
        <v>项</v>
      </c>
      <c r="E235" s="1" t="str">
        <f t="shared" si="70"/>
        <v>检验费</v>
      </c>
    </row>
    <row r="236" spans="1:5">
      <c r="A236" s="1" t="str">
        <f>"(AKP)血清碱性磷酸酶测定速率法"</f>
        <v>(AKP)血清碱性磷酸酶测定速率法</v>
      </c>
      <c r="B236" s="1">
        <v>5</v>
      </c>
      <c r="C236" s="1" t="str">
        <f t="shared" si="77"/>
        <v>项</v>
      </c>
      <c r="D236" s="1" t="str">
        <f t="shared" si="76"/>
        <v>项</v>
      </c>
      <c r="E236" s="1" t="str">
        <f t="shared" si="70"/>
        <v>检验费</v>
      </c>
    </row>
    <row r="237" spans="1:5">
      <c r="A237" s="1" t="str">
        <f>"血清骨型碱性磷酸酶质量测定"</f>
        <v>血清骨型碱性磷酸酶质量测定</v>
      </c>
      <c r="B237" s="1">
        <v>30</v>
      </c>
      <c r="C237" s="1" t="str">
        <f t="shared" si="77"/>
        <v>项</v>
      </c>
      <c r="D237" s="1" t="str">
        <f t="shared" si="76"/>
        <v>项</v>
      </c>
      <c r="E237" s="1" t="str">
        <f t="shared" si="70"/>
        <v>检验费</v>
      </c>
    </row>
    <row r="238" spans="1:5">
      <c r="A238" s="1" t="str">
        <f>"血清胆碱脂酶测定（速率法）"</f>
        <v>血清胆碱脂酶测定（速率法）</v>
      </c>
      <c r="B238" s="1">
        <v>5</v>
      </c>
      <c r="C238" s="1" t="str">
        <f t="shared" ref="C238:C241" si="78">"-"</f>
        <v>-</v>
      </c>
      <c r="D238" s="1" t="str">
        <f t="shared" si="76"/>
        <v>项</v>
      </c>
      <c r="E238" s="1" t="str">
        <f t="shared" si="70"/>
        <v>检验费</v>
      </c>
    </row>
    <row r="239" spans="1:5">
      <c r="A239" s="1" t="str">
        <f>"胆酸测定"</f>
        <v>胆酸测定</v>
      </c>
      <c r="B239" s="1">
        <v>10</v>
      </c>
      <c r="C239" s="1" t="str">
        <f t="shared" si="78"/>
        <v>-</v>
      </c>
      <c r="D239" s="1" t="str">
        <f t="shared" si="76"/>
        <v>项</v>
      </c>
      <c r="E239" s="1" t="str">
        <f t="shared" si="70"/>
        <v>检验费</v>
      </c>
    </row>
    <row r="240" spans="1:5">
      <c r="A240" s="1" t="str">
        <f>"血清肌酸激酶测定（速率法）"</f>
        <v>血清肌酸激酶测定（速率法）</v>
      </c>
      <c r="B240" s="1">
        <v>5</v>
      </c>
      <c r="C240" s="1" t="str">
        <f t="shared" si="78"/>
        <v>-</v>
      </c>
      <c r="D240" s="1" t="str">
        <f t="shared" si="76"/>
        <v>项</v>
      </c>
      <c r="E240" s="1" t="str">
        <f t="shared" si="70"/>
        <v>检验费</v>
      </c>
    </row>
    <row r="241" spans="1:5">
      <c r="A241" s="1" t="str">
        <f>"血清肌酸激酶-MB同工酶活性测定（速率法）"</f>
        <v>血清肌酸激酶-MB同工酶活性测定（速率法）</v>
      </c>
      <c r="B241" s="1">
        <v>5</v>
      </c>
      <c r="C241" s="1" t="str">
        <f t="shared" si="78"/>
        <v>-</v>
      </c>
      <c r="D241" s="1" t="str">
        <f t="shared" si="76"/>
        <v>项</v>
      </c>
      <c r="E241" s="1" t="str">
        <f t="shared" si="70"/>
        <v>检验费</v>
      </c>
    </row>
    <row r="242" spans="1:5">
      <c r="A242" s="1" t="str">
        <f>"血清肌酸激酶－MB同工酶质量测定"</f>
        <v>血清肌酸激酶－MB同工酶质量测定</v>
      </c>
      <c r="B242" s="1">
        <v>5</v>
      </c>
      <c r="C242" s="1" t="str">
        <f t="shared" ref="C242:C255" si="79">"项"</f>
        <v>项</v>
      </c>
      <c r="D242" s="1" t="str">
        <f t="shared" si="76"/>
        <v>项</v>
      </c>
      <c r="E242" s="1" t="str">
        <f t="shared" si="70"/>
        <v>检验费</v>
      </c>
    </row>
    <row r="243" spans="1:5">
      <c r="A243" s="1" t="str">
        <f>"(LDH)乳酸脱氢酶测定"</f>
        <v>(LDH)乳酸脱氢酶测定</v>
      </c>
      <c r="B243" s="1">
        <v>5</v>
      </c>
      <c r="C243" s="1" t="str">
        <f t="shared" si="79"/>
        <v>项</v>
      </c>
      <c r="D243" s="1" t="str">
        <f t="shared" si="76"/>
        <v>项</v>
      </c>
      <c r="E243" s="1" t="str">
        <f t="shared" si="70"/>
        <v>检验费</v>
      </c>
    </row>
    <row r="244" spans="1:5">
      <c r="A244" s="1" t="str">
        <f>"血清α羟基丁酸脱氢酶测定速率法"</f>
        <v>血清α羟基丁酸脱氢酶测定速率法</v>
      </c>
      <c r="B244" s="1">
        <v>10</v>
      </c>
      <c r="C244" s="1" t="str">
        <f t="shared" si="79"/>
        <v>项</v>
      </c>
      <c r="D244" s="1" t="str">
        <f t="shared" si="76"/>
        <v>项</v>
      </c>
      <c r="E244" s="1" t="str">
        <f t="shared" si="70"/>
        <v>检验费</v>
      </c>
    </row>
    <row r="245" spans="1:5">
      <c r="A245" s="1" t="str">
        <f>"血清肌钙蛋白T测定（金标法）"</f>
        <v>血清肌钙蛋白T测定（金标法）</v>
      </c>
      <c r="B245" s="1">
        <v>70</v>
      </c>
      <c r="C245" s="1" t="str">
        <f t="shared" si="79"/>
        <v>项</v>
      </c>
      <c r="D245" s="1" t="str">
        <f t="shared" si="76"/>
        <v>项</v>
      </c>
      <c r="E245" s="1" t="str">
        <f t="shared" si="70"/>
        <v>检验费</v>
      </c>
    </row>
    <row r="246" spans="1:5">
      <c r="A246" s="1" t="str">
        <f>"血清肌钙蛋白Ⅰ测定金标法"</f>
        <v>血清肌钙蛋白Ⅰ测定金标法</v>
      </c>
      <c r="B246" s="1">
        <v>70</v>
      </c>
      <c r="C246" s="1" t="str">
        <f t="shared" si="79"/>
        <v>项</v>
      </c>
      <c r="D246" s="1" t="str">
        <f t="shared" si="76"/>
        <v>项</v>
      </c>
      <c r="E246" s="1" t="str">
        <f t="shared" si="70"/>
        <v>检验费</v>
      </c>
    </row>
    <row r="247" spans="1:5">
      <c r="A247" s="1" t="str">
        <f>"血清肌红蛋白测定荧光免疫法"</f>
        <v>血清肌红蛋白测定荧光免疫法</v>
      </c>
      <c r="B247" s="1">
        <v>60</v>
      </c>
      <c r="C247" s="1" t="str">
        <f t="shared" si="79"/>
        <v>项</v>
      </c>
      <c r="D247" s="1" t="str">
        <f t="shared" si="76"/>
        <v>项</v>
      </c>
      <c r="E247" s="1" t="str">
        <f t="shared" si="70"/>
        <v>检验费</v>
      </c>
    </row>
    <row r="248" spans="1:5">
      <c r="A248" s="1" t="str">
        <f>"血同型半胱氨酸测定各种免疫学方法"</f>
        <v>血同型半胱氨酸测定各种免疫学方法</v>
      </c>
      <c r="B248" s="1">
        <v>60</v>
      </c>
      <c r="C248" s="1" t="str">
        <f t="shared" si="79"/>
        <v>项</v>
      </c>
      <c r="D248" s="1" t="str">
        <f t="shared" si="76"/>
        <v>项</v>
      </c>
      <c r="E248" s="1" t="str">
        <f t="shared" si="70"/>
        <v>检验费</v>
      </c>
    </row>
    <row r="249" spans="1:5">
      <c r="A249" s="1" t="str">
        <f>"N端-前脑钠肽（NT-PROBNP）测定"</f>
        <v>N端-前脑钠肽（NT-PROBNP）测定</v>
      </c>
      <c r="B249" s="1">
        <v>150</v>
      </c>
      <c r="C249" s="1" t="str">
        <f t="shared" si="79"/>
        <v>项</v>
      </c>
      <c r="D249" s="1" t="str">
        <f t="shared" si="76"/>
        <v>项</v>
      </c>
      <c r="E249" s="1" t="str">
        <f t="shared" si="70"/>
        <v>检验费</v>
      </c>
    </row>
    <row r="250" spans="1:5">
      <c r="A250" s="1" t="str">
        <f>"尿素测定"</f>
        <v>尿素测定</v>
      </c>
      <c r="B250" s="1">
        <v>4</v>
      </c>
      <c r="C250" s="1" t="str">
        <f t="shared" si="79"/>
        <v>项</v>
      </c>
      <c r="D250" s="1" t="str">
        <f t="shared" si="76"/>
        <v>项</v>
      </c>
      <c r="E250" s="1" t="str">
        <f t="shared" si="70"/>
        <v>检验费</v>
      </c>
    </row>
    <row r="251" spans="1:5">
      <c r="A251" s="1" t="str">
        <f>"肌酐测定"</f>
        <v>肌酐测定</v>
      </c>
      <c r="B251" s="1">
        <v>4</v>
      </c>
      <c r="C251" s="1" t="str">
        <f t="shared" si="79"/>
        <v>项</v>
      </c>
      <c r="D251" s="1" t="str">
        <f t="shared" si="76"/>
        <v>项</v>
      </c>
      <c r="E251" s="1" t="str">
        <f t="shared" si="70"/>
        <v>检验费</v>
      </c>
    </row>
    <row r="252" spans="1:5">
      <c r="A252" s="1" t="str">
        <f>"血清尿酸测定"</f>
        <v>血清尿酸测定</v>
      </c>
      <c r="B252" s="1">
        <v>3</v>
      </c>
      <c r="C252" s="1" t="str">
        <f t="shared" si="79"/>
        <v>项</v>
      </c>
      <c r="D252" s="1" t="str">
        <f t="shared" si="76"/>
        <v>项</v>
      </c>
      <c r="E252" s="1" t="str">
        <f t="shared" si="70"/>
        <v>检验费</v>
      </c>
    </row>
    <row r="253" spans="1:5">
      <c r="A253" s="1" t="str">
        <f>"尿微量白蛋白测定散射比浊法"</f>
        <v>尿微量白蛋白测定散射比浊法</v>
      </c>
      <c r="B253" s="1">
        <v>35</v>
      </c>
      <c r="C253" s="1" t="str">
        <f t="shared" si="79"/>
        <v>项</v>
      </c>
      <c r="D253" s="1" t="str">
        <f t="shared" si="76"/>
        <v>项</v>
      </c>
      <c r="E253" s="1" t="str">
        <f t="shared" si="70"/>
        <v>检验费</v>
      </c>
    </row>
    <row r="254" spans="1:5">
      <c r="A254" s="1" t="str">
        <f>"尿浓缩试验"</f>
        <v>尿浓缩试验</v>
      </c>
      <c r="B254" s="1">
        <v>10</v>
      </c>
      <c r="C254" s="1" t="str">
        <f t="shared" si="79"/>
        <v>项</v>
      </c>
      <c r="D254" s="1" t="str">
        <f t="shared" si="76"/>
        <v>项</v>
      </c>
      <c r="E254" s="1" t="str">
        <f t="shared" si="70"/>
        <v>检验费</v>
      </c>
    </row>
    <row r="255" spans="1:5">
      <c r="A255" s="1" t="str">
        <f>"淀粉酶测定"</f>
        <v>淀粉酶测定</v>
      </c>
      <c r="B255" s="1">
        <v>6</v>
      </c>
      <c r="C255" s="1" t="str">
        <f t="shared" si="79"/>
        <v>项</v>
      </c>
      <c r="D255" s="1" t="str">
        <f t="shared" si="76"/>
        <v>项</v>
      </c>
      <c r="E255" s="1" t="str">
        <f t="shared" si="70"/>
        <v>检验费</v>
      </c>
    </row>
    <row r="256" spans="1:5">
      <c r="A256" s="1" t="str">
        <f>"尿淀粉酶测定（比色法、速率法）"</f>
        <v>尿淀粉酶测定（比色法、速率法）</v>
      </c>
      <c r="B256" s="1">
        <v>6</v>
      </c>
      <c r="C256" s="1">
        <v>1</v>
      </c>
      <c r="D256" s="1" t="str">
        <f t="shared" si="76"/>
        <v>项</v>
      </c>
      <c r="E256" s="1" t="str">
        <f t="shared" si="70"/>
        <v>检验费</v>
      </c>
    </row>
    <row r="257" spans="1:5">
      <c r="A257" s="1" t="str">
        <f>"淀粉酶测定（腹水）"</f>
        <v>淀粉酶测定（腹水）</v>
      </c>
      <c r="B257" s="1">
        <v>6</v>
      </c>
      <c r="C257" s="1" t="str">
        <f t="shared" ref="C257:C272" si="80">"项"</f>
        <v>项</v>
      </c>
      <c r="D257" s="1" t="str">
        <f t="shared" si="76"/>
        <v>项</v>
      </c>
      <c r="E257" s="1" t="str">
        <f t="shared" si="70"/>
        <v>检验费</v>
      </c>
    </row>
    <row r="258" spans="1:5">
      <c r="A258" s="1" t="str">
        <f>"25羟维生素D测定"</f>
        <v>25羟维生素D测定</v>
      </c>
      <c r="B258" s="1">
        <v>110</v>
      </c>
      <c r="C258" s="1" t="str">
        <f>"-"</f>
        <v>-</v>
      </c>
      <c r="D258" s="1" t="str">
        <f t="shared" si="76"/>
        <v>项</v>
      </c>
      <c r="E258" s="1" t="str">
        <f t="shared" si="70"/>
        <v>检验费</v>
      </c>
    </row>
    <row r="259" spans="1:5">
      <c r="A259" s="1" t="str">
        <f>"血清维生素测定"</f>
        <v>血清维生素测定</v>
      </c>
      <c r="B259" s="1">
        <v>40</v>
      </c>
      <c r="C259" s="1" t="str">
        <f>"次"</f>
        <v>次</v>
      </c>
      <c r="D259" s="1" t="str">
        <f>"次"</f>
        <v>次</v>
      </c>
      <c r="E259" s="1" t="str">
        <f t="shared" si="70"/>
        <v>检验费</v>
      </c>
    </row>
    <row r="260" spans="1:5">
      <c r="A260" s="1" t="str">
        <f>"血清维生素测定-a"</f>
        <v>血清维生素测定-a</v>
      </c>
      <c r="B260" s="1">
        <v>10</v>
      </c>
      <c r="C260" s="1" t="str">
        <f>"次"</f>
        <v>次</v>
      </c>
      <c r="D260" s="1" t="str">
        <f>"次"</f>
        <v>次</v>
      </c>
      <c r="E260" s="1" t="str">
        <f t="shared" si="70"/>
        <v>检验费</v>
      </c>
    </row>
    <row r="261" spans="1:5">
      <c r="A261" s="1" t="str">
        <f>"血清促甲状腺激素测定各种免疫学方法"</f>
        <v>血清促甲状腺激素测定各种免疫学方法</v>
      </c>
      <c r="B261" s="1">
        <v>20</v>
      </c>
      <c r="C261" s="1" t="str">
        <f t="shared" si="80"/>
        <v>项</v>
      </c>
      <c r="D261" s="1" t="str">
        <f t="shared" ref="D261:D282" si="81">"项"</f>
        <v>项</v>
      </c>
      <c r="E261" s="1" t="str">
        <f t="shared" si="70"/>
        <v>检验费</v>
      </c>
    </row>
    <row r="262" spans="1:5">
      <c r="A262" s="1" t="str">
        <f>"(TSH)血清促甲状腺激素测定"</f>
        <v>(TSH)血清促甲状腺激素测定</v>
      </c>
      <c r="B262" s="1">
        <v>40</v>
      </c>
      <c r="C262" s="1" t="str">
        <f t="shared" si="80"/>
        <v>项</v>
      </c>
      <c r="D262" s="1" t="str">
        <f t="shared" si="81"/>
        <v>项</v>
      </c>
      <c r="E262" s="1" t="str">
        <f t="shared" si="70"/>
        <v>检验费</v>
      </c>
    </row>
    <row r="263" spans="1:5">
      <c r="A263" s="1" t="str">
        <f>"(PRL)血清泌乳素测定"</f>
        <v>(PRL)血清泌乳素测定</v>
      </c>
      <c r="B263" s="1">
        <v>45</v>
      </c>
      <c r="C263" s="1" t="str">
        <f t="shared" si="80"/>
        <v>项</v>
      </c>
      <c r="D263" s="1" t="str">
        <f t="shared" si="81"/>
        <v>项</v>
      </c>
      <c r="E263" s="1" t="str">
        <f t="shared" ref="E263:E326" si="82">"检验费"</f>
        <v>检验费</v>
      </c>
    </row>
    <row r="264" spans="1:5">
      <c r="A264" s="1" t="str">
        <f>"(FSH)血清促卵泡刺激素测定"</f>
        <v>(FSH)血清促卵泡刺激素测定</v>
      </c>
      <c r="B264" s="1">
        <v>40</v>
      </c>
      <c r="C264" s="1" t="str">
        <f t="shared" si="80"/>
        <v>项</v>
      </c>
      <c r="D264" s="1" t="str">
        <f t="shared" si="81"/>
        <v>项</v>
      </c>
      <c r="E264" s="1" t="str">
        <f t="shared" si="82"/>
        <v>检验费</v>
      </c>
    </row>
    <row r="265" spans="1:5">
      <c r="A265" s="1" t="str">
        <f>"(LH)血清促黄体生成素测定"</f>
        <v>(LH)血清促黄体生成素测定</v>
      </c>
      <c r="B265" s="1">
        <v>40</v>
      </c>
      <c r="C265" s="1" t="str">
        <f t="shared" si="80"/>
        <v>项</v>
      </c>
      <c r="D265" s="1" t="str">
        <f t="shared" si="81"/>
        <v>项</v>
      </c>
      <c r="E265" s="1" t="str">
        <f t="shared" si="82"/>
        <v>检验费</v>
      </c>
    </row>
    <row r="266" spans="1:5">
      <c r="A266" s="1" t="str">
        <f>"降钙素测定（化学发光法）"</f>
        <v>降钙素测定（化学发光法）</v>
      </c>
      <c r="B266" s="1">
        <v>60</v>
      </c>
      <c r="C266" s="1" t="str">
        <f t="shared" si="80"/>
        <v>项</v>
      </c>
      <c r="D266" s="1" t="str">
        <f t="shared" si="81"/>
        <v>项</v>
      </c>
      <c r="E266" s="1" t="str">
        <f t="shared" si="82"/>
        <v>检验费</v>
      </c>
    </row>
    <row r="267" spans="1:5">
      <c r="A267" s="1" t="str">
        <f>"甲状旁腺激素测定"</f>
        <v>甲状旁腺激素测定</v>
      </c>
      <c r="B267" s="1">
        <v>40</v>
      </c>
      <c r="C267" s="1" t="str">
        <f t="shared" si="80"/>
        <v>项</v>
      </c>
      <c r="D267" s="1" t="str">
        <f t="shared" si="81"/>
        <v>项</v>
      </c>
      <c r="E267" s="1" t="str">
        <f t="shared" si="82"/>
        <v>检验费</v>
      </c>
    </row>
    <row r="268" spans="1:5">
      <c r="A268" s="1" t="str">
        <f>"血清甲状腺素(T4)测定"</f>
        <v>血清甲状腺素(T4)测定</v>
      </c>
      <c r="B268" s="1">
        <v>40</v>
      </c>
      <c r="C268" s="1" t="str">
        <f t="shared" si="80"/>
        <v>项</v>
      </c>
      <c r="D268" s="1" t="str">
        <f t="shared" si="81"/>
        <v>项</v>
      </c>
      <c r="E268" s="1" t="str">
        <f t="shared" si="82"/>
        <v>检验费</v>
      </c>
    </row>
    <row r="269" spans="1:5">
      <c r="A269" s="1" t="str">
        <f>"血清三碘甲状原氨酸(T3)测定"</f>
        <v>血清三碘甲状原氨酸(T3)测定</v>
      </c>
      <c r="B269" s="1">
        <v>40</v>
      </c>
      <c r="C269" s="1" t="str">
        <f t="shared" si="80"/>
        <v>项</v>
      </c>
      <c r="D269" s="1" t="str">
        <f t="shared" si="81"/>
        <v>项</v>
      </c>
      <c r="E269" s="1" t="str">
        <f t="shared" si="82"/>
        <v>检验费</v>
      </c>
    </row>
    <row r="270" spans="1:5">
      <c r="A270" s="1" t="str">
        <f>"血清游离甲状腺素(FT4)测定"</f>
        <v>血清游离甲状腺素(FT4)测定</v>
      </c>
      <c r="B270" s="1">
        <v>40</v>
      </c>
      <c r="C270" s="1" t="str">
        <f t="shared" si="80"/>
        <v>项</v>
      </c>
      <c r="D270" s="1" t="str">
        <f t="shared" si="81"/>
        <v>项</v>
      </c>
      <c r="E270" s="1" t="str">
        <f t="shared" si="82"/>
        <v>检验费</v>
      </c>
    </row>
    <row r="271" spans="1:5">
      <c r="A271" s="1" t="str">
        <f>"血清游离三碘甲状原氨酸(FT3)测定"</f>
        <v>血清游离三碘甲状原氨酸(FT3)测定</v>
      </c>
      <c r="B271" s="1">
        <v>40</v>
      </c>
      <c r="C271" s="1" t="str">
        <f t="shared" si="80"/>
        <v>项</v>
      </c>
      <c r="D271" s="1" t="str">
        <f t="shared" si="81"/>
        <v>项</v>
      </c>
      <c r="E271" s="1" t="str">
        <f t="shared" si="82"/>
        <v>检验费</v>
      </c>
    </row>
    <row r="272" spans="1:5">
      <c r="A272" s="1" t="str">
        <f>"(TRAB)促甲状腺素受体抗体测定"</f>
        <v>(TRAB)促甲状腺素受体抗体测定</v>
      </c>
      <c r="B272" s="1">
        <v>60</v>
      </c>
      <c r="C272" s="1" t="str">
        <f t="shared" si="80"/>
        <v>项</v>
      </c>
      <c r="D272" s="1" t="str">
        <f t="shared" si="81"/>
        <v>项</v>
      </c>
      <c r="E272" s="1" t="str">
        <f t="shared" si="82"/>
        <v>检验费</v>
      </c>
    </row>
    <row r="273" spans="1:5">
      <c r="A273" s="1" t="str">
        <f>"血浆皮质醇测定"</f>
        <v>血浆皮质醇测定</v>
      </c>
      <c r="B273" s="1">
        <v>60</v>
      </c>
      <c r="C273" s="1" t="str">
        <f t="shared" ref="C273:C277" si="83">"-"</f>
        <v>-</v>
      </c>
      <c r="D273" s="1" t="str">
        <f t="shared" si="81"/>
        <v>项</v>
      </c>
      <c r="E273" s="1" t="str">
        <f t="shared" si="82"/>
        <v>检验费</v>
      </c>
    </row>
    <row r="274" spans="1:5">
      <c r="A274" s="1" t="str">
        <f>"醛固酮测定（各种免疫学方法）"</f>
        <v>醛固酮测定（各种免疫学方法）</v>
      </c>
      <c r="B274" s="1">
        <v>15</v>
      </c>
      <c r="C274" s="1" t="str">
        <f t="shared" ref="C274:C282" si="84">"项"</f>
        <v>项</v>
      </c>
      <c r="D274" s="1" t="str">
        <f t="shared" si="81"/>
        <v>项</v>
      </c>
      <c r="E274" s="1" t="str">
        <f t="shared" si="82"/>
        <v>检验费</v>
      </c>
    </row>
    <row r="275" spans="1:5">
      <c r="A275" s="1" t="str">
        <f>"血浆肾素活性测定"</f>
        <v>血浆肾素活性测定</v>
      </c>
      <c r="B275" s="1">
        <v>30</v>
      </c>
      <c r="C275" s="1" t="str">
        <f t="shared" si="83"/>
        <v>-</v>
      </c>
      <c r="D275" s="1" t="str">
        <f t="shared" si="81"/>
        <v>项</v>
      </c>
      <c r="E275" s="1" t="str">
        <f t="shared" si="82"/>
        <v>检验费</v>
      </c>
    </row>
    <row r="276" spans="1:5">
      <c r="A276" s="1" t="str">
        <f>"血管紧张素Ⅰ测定"</f>
        <v>血管紧张素Ⅰ测定</v>
      </c>
      <c r="B276" s="1">
        <v>12</v>
      </c>
      <c r="C276" s="1" t="str">
        <f t="shared" si="83"/>
        <v>-</v>
      </c>
      <c r="D276" s="1" t="str">
        <f t="shared" si="81"/>
        <v>项</v>
      </c>
      <c r="E276" s="1" t="str">
        <f t="shared" si="82"/>
        <v>检验费</v>
      </c>
    </row>
    <row r="277" spans="1:5">
      <c r="A277" s="1" t="str">
        <f>"血管紧张素Ⅱ测定"</f>
        <v>血管紧张素Ⅱ测定</v>
      </c>
      <c r="B277" s="1">
        <v>12</v>
      </c>
      <c r="C277" s="1" t="str">
        <f t="shared" si="83"/>
        <v>-</v>
      </c>
      <c r="D277" s="1" t="str">
        <f t="shared" si="81"/>
        <v>项</v>
      </c>
      <c r="E277" s="1" t="str">
        <f t="shared" si="82"/>
        <v>检验费</v>
      </c>
    </row>
    <row r="278" spans="1:5">
      <c r="A278" s="1" t="str">
        <f>"(T)睾酮测定"</f>
        <v>(T)睾酮测定</v>
      </c>
      <c r="B278" s="1">
        <v>60</v>
      </c>
      <c r="C278" s="1" t="str">
        <f t="shared" si="84"/>
        <v>项</v>
      </c>
      <c r="D278" s="1" t="str">
        <f t="shared" si="81"/>
        <v>项</v>
      </c>
      <c r="E278" s="1" t="str">
        <f t="shared" si="82"/>
        <v>检验费</v>
      </c>
    </row>
    <row r="279" spans="1:5">
      <c r="A279" s="1" t="str">
        <f>"17α羟孕酮测定（化学发光法、荧光免疫法）"</f>
        <v>17α羟孕酮测定（化学发光法、荧光免疫法）</v>
      </c>
      <c r="B279" s="1">
        <v>35</v>
      </c>
      <c r="C279" s="1" t="str">
        <f t="shared" si="84"/>
        <v>项</v>
      </c>
      <c r="D279" s="1" t="str">
        <f t="shared" si="81"/>
        <v>项</v>
      </c>
      <c r="E279" s="1" t="str">
        <f t="shared" si="82"/>
        <v>检验费</v>
      </c>
    </row>
    <row r="280" spans="1:5">
      <c r="A280" s="1" t="str">
        <f>"(E2)雌二醇测定"</f>
        <v>(E2)雌二醇测定</v>
      </c>
      <c r="B280" s="1">
        <v>60</v>
      </c>
      <c r="C280" s="1" t="str">
        <f t="shared" si="84"/>
        <v>项</v>
      </c>
      <c r="D280" s="1" t="str">
        <f t="shared" si="81"/>
        <v>项</v>
      </c>
      <c r="E280" s="1" t="str">
        <f t="shared" si="82"/>
        <v>检验费</v>
      </c>
    </row>
    <row r="281" spans="1:5">
      <c r="A281" s="1" t="str">
        <f>"(P)孕酮测定"</f>
        <v>(P)孕酮测定</v>
      </c>
      <c r="B281" s="1">
        <v>60</v>
      </c>
      <c r="C281" s="1" t="str">
        <f t="shared" si="84"/>
        <v>项</v>
      </c>
      <c r="D281" s="1" t="str">
        <f t="shared" si="81"/>
        <v>项</v>
      </c>
      <c r="E281" s="1" t="str">
        <f t="shared" si="82"/>
        <v>检验费</v>
      </c>
    </row>
    <row r="282" spans="1:5">
      <c r="A282" s="1" t="str">
        <f>"(HCG)血清人绒毛膜促性腺激素测定"</f>
        <v>(HCG)血清人绒毛膜促性腺激素测定</v>
      </c>
      <c r="B282" s="1">
        <v>40</v>
      </c>
      <c r="C282" s="1" t="str">
        <f t="shared" si="84"/>
        <v>项</v>
      </c>
      <c r="D282" s="1" t="str">
        <f t="shared" si="81"/>
        <v>项</v>
      </c>
      <c r="E282" s="1" t="str">
        <f t="shared" si="82"/>
        <v>检验费</v>
      </c>
    </row>
    <row r="283" spans="1:5">
      <c r="A283" s="1" t="str">
        <f>"人绒毛膜促性腺激素(HCG)定量测定"</f>
        <v>人绒毛膜促性腺激素(HCG)定量测定</v>
      </c>
      <c r="B283" s="1">
        <v>15</v>
      </c>
      <c r="C283" s="1" t="str">
        <f>"例"</f>
        <v>例</v>
      </c>
      <c r="D283" s="1" t="str">
        <f>"例"</f>
        <v>例</v>
      </c>
      <c r="E283" s="1" t="str">
        <f t="shared" si="82"/>
        <v>检验费</v>
      </c>
    </row>
    <row r="284" spans="1:5">
      <c r="A284" s="1" t="str">
        <f>"血清胰岛素测定（各种免疫学方法）"</f>
        <v>血清胰岛素测定（各种免疫学方法）</v>
      </c>
      <c r="B284" s="1">
        <v>10</v>
      </c>
      <c r="C284" s="1" t="str">
        <f t="shared" ref="C284:C290" si="85">"项"</f>
        <v>项</v>
      </c>
      <c r="D284" s="1" t="str">
        <f t="shared" ref="D284:D293" si="86">"项"</f>
        <v>项</v>
      </c>
      <c r="E284" s="1" t="str">
        <f t="shared" si="82"/>
        <v>检验费</v>
      </c>
    </row>
    <row r="285" spans="1:5">
      <c r="A285" s="1" t="str">
        <f>"(INS)血清胰岛素测定"</f>
        <v>(INS)血清胰岛素测定</v>
      </c>
      <c r="B285" s="1">
        <v>40</v>
      </c>
      <c r="C285" s="1" t="str">
        <f t="shared" si="85"/>
        <v>项</v>
      </c>
      <c r="D285" s="1" t="str">
        <f t="shared" si="86"/>
        <v>项</v>
      </c>
      <c r="E285" s="1" t="str">
        <f t="shared" si="82"/>
        <v>检验费</v>
      </c>
    </row>
    <row r="286" spans="1:5">
      <c r="A286" s="1" t="str">
        <f>"血清胰高血糖测定（各种免疫学方法）"</f>
        <v>血清胰高血糖测定（各种免疫学方法）</v>
      </c>
      <c r="B286" s="1">
        <v>20</v>
      </c>
      <c r="C286" s="1" t="str">
        <f t="shared" si="85"/>
        <v>项</v>
      </c>
      <c r="D286" s="1" t="str">
        <f t="shared" si="86"/>
        <v>项</v>
      </c>
      <c r="E286" s="1" t="str">
        <f t="shared" si="82"/>
        <v>检验费</v>
      </c>
    </row>
    <row r="287" spans="1:5">
      <c r="A287" s="1" t="str">
        <f>"(CP)血清C肽测定"</f>
        <v>(CP)血清C肽测定</v>
      </c>
      <c r="B287" s="1">
        <v>60</v>
      </c>
      <c r="C287" s="1" t="str">
        <f t="shared" si="85"/>
        <v>项</v>
      </c>
      <c r="D287" s="1" t="str">
        <f t="shared" si="86"/>
        <v>项</v>
      </c>
      <c r="E287" s="1" t="str">
        <f t="shared" si="82"/>
        <v>检验费</v>
      </c>
    </row>
    <row r="288" spans="1:5">
      <c r="A288" s="1" t="str">
        <f>"血清抗谷氨酸脱羧酶抗体测定"</f>
        <v>血清抗谷氨酸脱羧酶抗体测定</v>
      </c>
      <c r="B288" s="1">
        <v>60</v>
      </c>
      <c r="C288" s="1" t="str">
        <f t="shared" si="85"/>
        <v>项</v>
      </c>
      <c r="D288" s="1" t="str">
        <f t="shared" si="86"/>
        <v>项</v>
      </c>
      <c r="E288" s="1" t="str">
        <f t="shared" si="82"/>
        <v>检验费</v>
      </c>
    </row>
    <row r="289" spans="1:5">
      <c r="A289" s="1" t="str">
        <f>"甲状腺球蛋白测定"</f>
        <v>甲状腺球蛋白测定</v>
      </c>
      <c r="B289" s="1">
        <v>60</v>
      </c>
      <c r="C289" s="1" t="str">
        <f t="shared" si="85"/>
        <v>项</v>
      </c>
      <c r="D289" s="1" t="str">
        <f t="shared" si="86"/>
        <v>项</v>
      </c>
      <c r="E289" s="1" t="str">
        <f t="shared" si="82"/>
        <v>检验费</v>
      </c>
    </row>
    <row r="290" spans="1:5">
      <c r="A290" s="1" t="str">
        <f>"单项补体测定"</f>
        <v>单项补体测定</v>
      </c>
      <c r="B290" s="1">
        <v>20</v>
      </c>
      <c r="C290" s="1" t="str">
        <f t="shared" si="85"/>
        <v>项</v>
      </c>
      <c r="D290" s="1" t="str">
        <f t="shared" si="86"/>
        <v>项</v>
      </c>
      <c r="E290" s="1" t="str">
        <f t="shared" si="82"/>
        <v>检验费</v>
      </c>
    </row>
    <row r="291" spans="1:5">
      <c r="A291" s="1" t="str">
        <f>"免疫球蛋白IgA定量测定（散射比浊法）"</f>
        <v>免疫球蛋白IgA定量测定（散射比浊法）</v>
      </c>
      <c r="B291" s="1">
        <v>20</v>
      </c>
      <c r="C291" s="1" t="str">
        <f t="shared" ref="C291:C294" si="87">"次"</f>
        <v>次</v>
      </c>
      <c r="D291" s="1" t="str">
        <f t="shared" si="86"/>
        <v>项</v>
      </c>
      <c r="E291" s="1" t="str">
        <f t="shared" si="82"/>
        <v>检验费</v>
      </c>
    </row>
    <row r="292" spans="1:5">
      <c r="A292" s="1" t="str">
        <f>"免疫球蛋白IgG定量测定（散射比浊法）"</f>
        <v>免疫球蛋白IgG定量测定（散射比浊法）</v>
      </c>
      <c r="B292" s="1">
        <v>20</v>
      </c>
      <c r="C292" s="1" t="str">
        <f t="shared" si="87"/>
        <v>次</v>
      </c>
      <c r="D292" s="1" t="str">
        <f t="shared" si="86"/>
        <v>项</v>
      </c>
      <c r="E292" s="1" t="str">
        <f t="shared" si="82"/>
        <v>检验费</v>
      </c>
    </row>
    <row r="293" spans="1:5">
      <c r="A293" s="1" t="str">
        <f>"免疫球蛋白IgM定量测定（散射比浊法）"</f>
        <v>免疫球蛋白IgM定量测定（散射比浊法）</v>
      </c>
      <c r="B293" s="1">
        <v>20</v>
      </c>
      <c r="C293" s="1" t="str">
        <f t="shared" si="87"/>
        <v>次</v>
      </c>
      <c r="D293" s="1" t="str">
        <f t="shared" si="86"/>
        <v>项</v>
      </c>
      <c r="E293" s="1" t="str">
        <f t="shared" si="82"/>
        <v>检验费</v>
      </c>
    </row>
    <row r="294" spans="1:5">
      <c r="A294" s="1" t="str">
        <f>"抗核抗体测定(ANA)（免疫学法）"</f>
        <v>抗核抗体测定(ANA)（免疫学法）</v>
      </c>
      <c r="B294" s="1">
        <v>30</v>
      </c>
      <c r="C294" s="1" t="str">
        <f t="shared" si="87"/>
        <v>次</v>
      </c>
      <c r="D294" s="1" t="str">
        <f>"次"</f>
        <v>次</v>
      </c>
      <c r="E294" s="1" t="str">
        <f t="shared" si="82"/>
        <v>检验费</v>
      </c>
    </row>
    <row r="295" spans="1:5">
      <c r="A295" s="1" t="str">
        <f>"抗核提取物抗体测定（抗JO-1)"</f>
        <v>抗核提取物抗体测定（抗JO-1)</v>
      </c>
      <c r="B295" s="1">
        <v>20</v>
      </c>
      <c r="C295" s="1">
        <v>1</v>
      </c>
      <c r="D295" s="1" t="str">
        <f t="shared" ref="D295:D297" si="88">"项"</f>
        <v>项</v>
      </c>
      <c r="E295" s="1" t="str">
        <f t="shared" si="82"/>
        <v>检验费</v>
      </c>
    </row>
    <row r="296" spans="1:5">
      <c r="A296" s="1" t="str">
        <f>"抗核提取物抗体测定(抗Sc-L-70)"</f>
        <v>抗核提取物抗体测定(抗Sc-L-70)</v>
      </c>
      <c r="B296" s="1">
        <v>20</v>
      </c>
      <c r="C296" s="1">
        <v>1</v>
      </c>
      <c r="D296" s="1" t="str">
        <f t="shared" si="88"/>
        <v>项</v>
      </c>
      <c r="E296" s="1" t="str">
        <f t="shared" si="82"/>
        <v>检验费</v>
      </c>
    </row>
    <row r="297" spans="1:5">
      <c r="A297" s="1" t="str">
        <f>"抗核提取物抗体测定(抗SM)"</f>
        <v>抗核提取物抗体测定(抗SM)</v>
      </c>
      <c r="B297" s="1">
        <v>20</v>
      </c>
      <c r="C297" s="1">
        <v>1</v>
      </c>
      <c r="D297" s="1" t="str">
        <f t="shared" si="88"/>
        <v>项</v>
      </c>
      <c r="E297" s="1" t="str">
        <f t="shared" si="82"/>
        <v>检验费</v>
      </c>
    </row>
    <row r="298" spans="1:5">
      <c r="A298" s="1" t="str">
        <f>"抗核提取物抗体测定(抗SSA抗体)"</f>
        <v>抗核提取物抗体测定(抗SSA抗体)</v>
      </c>
      <c r="B298" s="1">
        <v>20</v>
      </c>
      <c r="C298" s="1" t="str">
        <f>"次"</f>
        <v>次</v>
      </c>
      <c r="D298" s="1" t="str">
        <f>"次"</f>
        <v>次</v>
      </c>
      <c r="E298" s="1" t="str">
        <f t="shared" si="82"/>
        <v>检验费</v>
      </c>
    </row>
    <row r="299" spans="1:5">
      <c r="A299" s="1" t="str">
        <f>"抗核提取物抗体测定（抗SSB)"</f>
        <v>抗核提取物抗体测定（抗SSB)</v>
      </c>
      <c r="B299" s="1">
        <v>20</v>
      </c>
      <c r="C299" s="1" t="str">
        <f t="shared" ref="C299:C301" si="89">"项"</f>
        <v>项</v>
      </c>
      <c r="D299" s="1" t="str">
        <f t="shared" ref="D299:D302" si="90">"项"</f>
        <v>项</v>
      </c>
      <c r="E299" s="1" t="str">
        <f t="shared" si="82"/>
        <v>检验费</v>
      </c>
    </row>
    <row r="300" spans="1:5">
      <c r="A300" s="1" t="str">
        <f>"抗核提取物抗体测定(抗Anti-UIRNP)(免疫学法)"</f>
        <v>抗核提取物抗体测定(抗Anti-UIRNP)(免疫学法)</v>
      </c>
      <c r="B300" s="1">
        <v>20</v>
      </c>
      <c r="C300" s="1" t="str">
        <f t="shared" si="89"/>
        <v>项</v>
      </c>
      <c r="D300" s="1" t="str">
        <f t="shared" si="90"/>
        <v>项</v>
      </c>
      <c r="E300" s="1" t="str">
        <f t="shared" si="82"/>
        <v>检验费</v>
      </c>
    </row>
    <row r="301" spans="1:5">
      <c r="A301" s="1" t="str">
        <f>"抗核提取物抗体测定（抗着丝点抗体测定）（免疫学法）"</f>
        <v>抗核提取物抗体测定（抗着丝点抗体测定）（免疫学法）</v>
      </c>
      <c r="B301" s="1">
        <v>20</v>
      </c>
      <c r="C301" s="1" t="str">
        <f t="shared" si="89"/>
        <v>项</v>
      </c>
      <c r="D301" s="1" t="str">
        <f t="shared" si="90"/>
        <v>项</v>
      </c>
      <c r="E301" s="1" t="str">
        <f t="shared" si="82"/>
        <v>检验费</v>
      </c>
    </row>
    <row r="302" spans="1:5">
      <c r="A302" s="1" t="str">
        <f>"抗中性粒细胞胞浆抗体测定(canca)"</f>
        <v>抗中性粒细胞胞浆抗体测定(canca)</v>
      </c>
      <c r="B302" s="1">
        <v>30</v>
      </c>
      <c r="C302" s="1">
        <v>1</v>
      </c>
      <c r="D302" s="1" t="str">
        <f t="shared" si="90"/>
        <v>项</v>
      </c>
      <c r="E302" s="1" t="str">
        <f t="shared" si="82"/>
        <v>检验费</v>
      </c>
    </row>
    <row r="303" spans="1:5">
      <c r="A303" s="1" t="str">
        <f>"抗中性粒细胞胞浆抗体测定(panca)"</f>
        <v>抗中性粒细胞胞浆抗体测定(panca)</v>
      </c>
      <c r="B303" s="1">
        <v>30</v>
      </c>
      <c r="C303" s="1" t="str">
        <f>"次"</f>
        <v>次</v>
      </c>
      <c r="D303" s="1" t="str">
        <f>"次"</f>
        <v>次</v>
      </c>
      <c r="E303" s="1" t="str">
        <f t="shared" si="82"/>
        <v>检验费</v>
      </c>
    </row>
    <row r="304" spans="1:5">
      <c r="A304" s="1" t="str">
        <f>"抗双链DNA测定(抗dsDNA)"</f>
        <v>抗双链DNA测定(抗dsDNA)</v>
      </c>
      <c r="B304" s="1">
        <v>20</v>
      </c>
      <c r="C304" s="1" t="str">
        <f>"-"</f>
        <v>-</v>
      </c>
      <c r="D304" s="1" t="str">
        <f t="shared" ref="D304:D306" si="91">"项"</f>
        <v>项</v>
      </c>
      <c r="E304" s="1" t="str">
        <f t="shared" si="82"/>
        <v>检验费</v>
      </c>
    </row>
    <row r="305" spans="1:5">
      <c r="A305" s="1" t="str">
        <f>"抗线粒体抗体测定（免疫法）"</f>
        <v>抗线粒体抗体测定（免疫法）</v>
      </c>
      <c r="B305" s="1">
        <v>15</v>
      </c>
      <c r="C305" s="1" t="str">
        <f t="shared" ref="C305:C312" si="92">"项"</f>
        <v>项</v>
      </c>
      <c r="D305" s="1" t="str">
        <f t="shared" si="91"/>
        <v>项</v>
      </c>
      <c r="E305" s="1" t="str">
        <f t="shared" si="82"/>
        <v>检验费</v>
      </c>
    </row>
    <row r="306" spans="1:5">
      <c r="A306" s="1" t="str">
        <f>"抗核糖核蛋白抗体测定（免疫印迹法）"</f>
        <v>抗核糖核蛋白抗体测定（免疫印迹法）</v>
      </c>
      <c r="B306" s="1">
        <v>20</v>
      </c>
      <c r="C306" s="1" t="str">
        <f t="shared" si="92"/>
        <v>项</v>
      </c>
      <c r="D306" s="1" t="str">
        <f t="shared" si="91"/>
        <v>项</v>
      </c>
      <c r="E306" s="1" t="str">
        <f t="shared" si="82"/>
        <v>检验费</v>
      </c>
    </row>
    <row r="307" spans="1:5">
      <c r="A307" s="1" t="str">
        <f>"抗组织细胞抗体测定(胰岛细胞)"</f>
        <v>抗组织细胞抗体测定(胰岛细胞)</v>
      </c>
      <c r="B307" s="1">
        <v>20</v>
      </c>
      <c r="C307" s="1" t="str">
        <f>"次"</f>
        <v>次</v>
      </c>
      <c r="D307" s="1" t="str">
        <f>"次"</f>
        <v>次</v>
      </c>
      <c r="E307" s="1" t="str">
        <f t="shared" si="82"/>
        <v>检验费</v>
      </c>
    </row>
    <row r="308" spans="1:5">
      <c r="A308" s="1" t="str">
        <f>"抗甲状腺球蛋白抗体测定(TGAb)"</f>
        <v>抗甲状腺球蛋白抗体测定(TGAb)</v>
      </c>
      <c r="B308" s="1">
        <v>35</v>
      </c>
      <c r="C308" s="1" t="str">
        <f t="shared" si="92"/>
        <v>项</v>
      </c>
      <c r="D308" s="1" t="str">
        <f t="shared" ref="D308:D312" si="93">"项"</f>
        <v>项</v>
      </c>
      <c r="E308" s="1" t="str">
        <f t="shared" si="82"/>
        <v>检验费</v>
      </c>
    </row>
    <row r="309" spans="1:5">
      <c r="A309" s="1" t="str">
        <f>"甲状腺球蛋白测定"</f>
        <v>甲状腺球蛋白测定</v>
      </c>
      <c r="B309" s="1">
        <v>55</v>
      </c>
      <c r="C309" s="1" t="str">
        <f t="shared" si="92"/>
        <v>项</v>
      </c>
      <c r="D309" s="1" t="str">
        <f t="shared" si="93"/>
        <v>项</v>
      </c>
      <c r="E309" s="1" t="str">
        <f t="shared" si="82"/>
        <v>检验费</v>
      </c>
    </row>
    <row r="310" spans="1:5">
      <c r="A310" s="1" t="str">
        <f>"抗胰岛素抗体测定凝集法"</f>
        <v>抗胰岛素抗体测定凝集法</v>
      </c>
      <c r="B310" s="1">
        <v>15</v>
      </c>
      <c r="C310" s="1" t="str">
        <f t="shared" si="92"/>
        <v>项</v>
      </c>
      <c r="D310" s="1" t="str">
        <f t="shared" si="93"/>
        <v>项</v>
      </c>
      <c r="E310" s="1" t="str">
        <f t="shared" si="82"/>
        <v>检验费</v>
      </c>
    </row>
    <row r="311" spans="1:5">
      <c r="A311" s="1" t="str">
        <f>"抗胰岛素抗体测定ELISA法"</f>
        <v>抗胰岛素抗体测定ELISA法</v>
      </c>
      <c r="B311" s="1">
        <v>45</v>
      </c>
      <c r="C311" s="1" t="str">
        <f t="shared" si="92"/>
        <v>项</v>
      </c>
      <c r="D311" s="1" t="str">
        <f t="shared" si="93"/>
        <v>项</v>
      </c>
      <c r="E311" s="1" t="str">
        <f t="shared" si="82"/>
        <v>检验费</v>
      </c>
    </row>
    <row r="312" spans="1:5">
      <c r="A312" s="1" t="str">
        <f>"抗载脂蛋白抗体测定"</f>
        <v>抗载脂蛋白抗体测定</v>
      </c>
      <c r="B312" s="1">
        <v>15</v>
      </c>
      <c r="C312" s="1" t="str">
        <f t="shared" si="92"/>
        <v>项</v>
      </c>
      <c r="D312" s="1" t="str">
        <f t="shared" si="93"/>
        <v>项</v>
      </c>
      <c r="E312" s="1" t="str">
        <f t="shared" si="82"/>
        <v>检验费</v>
      </c>
    </row>
    <row r="313" spans="1:5">
      <c r="A313" s="1" t="str">
        <f>"类风湿因子(RF)测定（散射比浊法）"</f>
        <v>类风湿因子(RF)测定（散射比浊法）</v>
      </c>
      <c r="B313" s="1">
        <v>30</v>
      </c>
      <c r="C313" s="1" t="str">
        <f>"-"</f>
        <v>-</v>
      </c>
      <c r="D313" s="1" t="str">
        <f>"次"</f>
        <v>次</v>
      </c>
      <c r="E313" s="1" t="str">
        <f t="shared" si="82"/>
        <v>检验费</v>
      </c>
    </row>
    <row r="314" spans="1:5">
      <c r="A314" s="1" t="str">
        <f>"抗环瓜氨酸肽抗体(抗CCP抗体)测定"</f>
        <v>抗环瓜氨酸肽抗体(抗CCP抗体)测定</v>
      </c>
      <c r="B314" s="1">
        <v>80</v>
      </c>
      <c r="C314" s="1" t="str">
        <f t="shared" ref="C314:C316" si="94">"项"</f>
        <v>项</v>
      </c>
      <c r="D314" s="1" t="str">
        <f t="shared" ref="D314:D332" si="95">"项"</f>
        <v>项</v>
      </c>
      <c r="E314" s="1" t="str">
        <f t="shared" si="82"/>
        <v>检验费</v>
      </c>
    </row>
    <row r="315" spans="1:5">
      <c r="A315" s="1" t="str">
        <f>"抗核小体抗体测定（AnuA）"</f>
        <v>抗核小体抗体测定（AnuA）</v>
      </c>
      <c r="B315" s="1">
        <v>45</v>
      </c>
      <c r="C315" s="1" t="str">
        <f t="shared" si="94"/>
        <v>项</v>
      </c>
      <c r="D315" s="1" t="str">
        <f t="shared" si="95"/>
        <v>项</v>
      </c>
      <c r="E315" s="1" t="str">
        <f t="shared" si="82"/>
        <v>检验费</v>
      </c>
    </row>
    <row r="316" spans="1:5">
      <c r="A316" s="1" t="str">
        <f>"抗组蛋白抗体(AHA)测定"</f>
        <v>抗组蛋白抗体(AHA)测定</v>
      </c>
      <c r="B316" s="1">
        <v>30</v>
      </c>
      <c r="C316" s="1" t="str">
        <f t="shared" si="94"/>
        <v>项</v>
      </c>
      <c r="D316" s="1" t="str">
        <f t="shared" si="95"/>
        <v>项</v>
      </c>
      <c r="E316" s="1" t="str">
        <f t="shared" si="82"/>
        <v>检验费</v>
      </c>
    </row>
    <row r="317" spans="1:5">
      <c r="A317" s="1" t="str">
        <f>"抗甲状腺过氧化物酶抗体"</f>
        <v>抗甲状腺过氧化物酶抗体</v>
      </c>
      <c r="B317" s="1">
        <v>70</v>
      </c>
      <c r="C317" s="1">
        <v>1</v>
      </c>
      <c r="D317" s="1" t="str">
        <f t="shared" si="95"/>
        <v>项</v>
      </c>
      <c r="E317" s="1" t="str">
        <f t="shared" si="82"/>
        <v>检验费</v>
      </c>
    </row>
    <row r="318" spans="1:5">
      <c r="A318" s="1" t="str">
        <f>"甲型肝炎IgM抗体测定(Anti-HAV IgM)（酶免法、放免法)"</f>
        <v>甲型肝炎IgM抗体测定(Anti-HAV IgM)（酶免法、放免法)</v>
      </c>
      <c r="B318" s="1">
        <v>10</v>
      </c>
      <c r="C318" s="1" t="str">
        <f t="shared" ref="C318:C332" si="96">"项"</f>
        <v>项</v>
      </c>
      <c r="D318" s="1" t="str">
        <f t="shared" si="95"/>
        <v>项</v>
      </c>
      <c r="E318" s="1" t="str">
        <f t="shared" si="82"/>
        <v>检验费</v>
      </c>
    </row>
    <row r="319" spans="1:5">
      <c r="A319" s="1" t="str">
        <f>"乙型肝炎表面抗原测定(HBsAg)ELISA法"</f>
        <v>乙型肝炎表面抗原测定(HBsAg)ELISA法</v>
      </c>
      <c r="B319" s="1">
        <v>8</v>
      </c>
      <c r="C319" s="1" t="str">
        <f t="shared" si="96"/>
        <v>项</v>
      </c>
      <c r="D319" s="1" t="str">
        <f t="shared" si="95"/>
        <v>项</v>
      </c>
      <c r="E319" s="1" t="str">
        <f t="shared" si="82"/>
        <v>检验费</v>
      </c>
    </row>
    <row r="320" spans="1:5">
      <c r="A320" s="1" t="str">
        <f>"乙型肝炎表面抗原测定(HBsAg)（化学发光法、免疫荧光法）"</f>
        <v>乙型肝炎表面抗原测定(HBsAg)（化学发光法、免疫荧光法）</v>
      </c>
      <c r="B320" s="1">
        <v>25</v>
      </c>
      <c r="C320" s="1" t="str">
        <f t="shared" si="96"/>
        <v>项</v>
      </c>
      <c r="D320" s="1" t="str">
        <f t="shared" si="95"/>
        <v>项</v>
      </c>
      <c r="E320" s="1" t="str">
        <f t="shared" si="82"/>
        <v>检验费</v>
      </c>
    </row>
    <row r="321" spans="1:5">
      <c r="A321" s="1" t="str">
        <f>"乙型肝炎表面抗体测定(Anti-HBs)ELISA法"</f>
        <v>乙型肝炎表面抗体测定(Anti-HBs)ELISA法</v>
      </c>
      <c r="B321" s="1">
        <v>8</v>
      </c>
      <c r="C321" s="1" t="str">
        <f t="shared" si="96"/>
        <v>项</v>
      </c>
      <c r="D321" s="1" t="str">
        <f t="shared" si="95"/>
        <v>项</v>
      </c>
      <c r="E321" s="1" t="str">
        <f t="shared" si="82"/>
        <v>检验费</v>
      </c>
    </row>
    <row r="322" spans="1:5">
      <c r="A322" s="1" t="str">
        <f>"乙型肝炎表面抗体测定(Anti-HBs)化学发光法、免疫荧光法"</f>
        <v>乙型肝炎表面抗体测定(Anti-HBs)化学发光法、免疫荧光法</v>
      </c>
      <c r="B322" s="1">
        <v>25</v>
      </c>
      <c r="C322" s="1" t="str">
        <f t="shared" si="96"/>
        <v>项</v>
      </c>
      <c r="D322" s="1" t="str">
        <f t="shared" si="95"/>
        <v>项</v>
      </c>
      <c r="E322" s="1" t="str">
        <f t="shared" si="82"/>
        <v>检验费</v>
      </c>
    </row>
    <row r="323" spans="1:5">
      <c r="A323" s="1" t="str">
        <f>"乙型肝炎e抗原测定(HBeAg)（免疫学法）"</f>
        <v>乙型肝炎e抗原测定(HBeAg)（免疫学法）</v>
      </c>
      <c r="B323" s="1">
        <v>4</v>
      </c>
      <c r="C323" s="1" t="str">
        <f t="shared" si="96"/>
        <v>项</v>
      </c>
      <c r="D323" s="1" t="str">
        <f t="shared" si="95"/>
        <v>项</v>
      </c>
      <c r="E323" s="1" t="str">
        <f t="shared" si="82"/>
        <v>检验费</v>
      </c>
    </row>
    <row r="324" spans="1:5">
      <c r="A324" s="1" t="str">
        <f>"乙型肝炎e抗原测定(HBeAg)（化学发光法、免疫荧光法）"</f>
        <v>乙型肝炎e抗原测定(HBeAg)（化学发光法、免疫荧光法）</v>
      </c>
      <c r="B324" s="1">
        <v>25</v>
      </c>
      <c r="C324" s="1" t="str">
        <f t="shared" si="96"/>
        <v>项</v>
      </c>
      <c r="D324" s="1" t="str">
        <f t="shared" si="95"/>
        <v>项</v>
      </c>
      <c r="E324" s="1" t="str">
        <f t="shared" si="82"/>
        <v>检验费</v>
      </c>
    </row>
    <row r="325" spans="1:5">
      <c r="A325" s="1" t="str">
        <f>"乙型肝炎e抗体测定(Anti-HBe)免疫学法"</f>
        <v>乙型肝炎e抗体测定(Anti-HBe)免疫学法</v>
      </c>
      <c r="B325" s="1">
        <v>4</v>
      </c>
      <c r="C325" s="1" t="str">
        <f t="shared" si="96"/>
        <v>项</v>
      </c>
      <c r="D325" s="1" t="str">
        <f t="shared" si="95"/>
        <v>项</v>
      </c>
      <c r="E325" s="1" t="str">
        <f t="shared" si="82"/>
        <v>检验费</v>
      </c>
    </row>
    <row r="326" spans="1:5">
      <c r="A326" s="1" t="str">
        <f>"乙型肝炎e抗体测定(Anti-HBe)化学发光法、免疫荧光法"</f>
        <v>乙型肝炎e抗体测定(Anti-HBe)化学发光法、免疫荧光法</v>
      </c>
      <c r="B326" s="1">
        <v>20</v>
      </c>
      <c r="C326" s="1" t="str">
        <f t="shared" si="96"/>
        <v>项</v>
      </c>
      <c r="D326" s="1" t="str">
        <f t="shared" si="95"/>
        <v>项</v>
      </c>
      <c r="E326" s="1" t="str">
        <f t="shared" si="82"/>
        <v>检验费</v>
      </c>
    </row>
    <row r="327" spans="1:5">
      <c r="A327" s="1" t="str">
        <f>"乙型肝炎核心抗体测定(Anti-HBc)（ELISA法）"</f>
        <v>乙型肝炎核心抗体测定(Anti-HBc)（ELISA法）</v>
      </c>
      <c r="B327" s="1">
        <v>8</v>
      </c>
      <c r="C327" s="1" t="str">
        <f t="shared" si="96"/>
        <v>项</v>
      </c>
      <c r="D327" s="1" t="str">
        <f t="shared" si="95"/>
        <v>项</v>
      </c>
      <c r="E327" s="1" t="str">
        <f t="shared" ref="E327:E390" si="97">"检验费"</f>
        <v>检验费</v>
      </c>
    </row>
    <row r="328" spans="1:5">
      <c r="A328" s="1" t="str">
        <f>"乙型肝炎核心抗体测定(Anti-HBc)化学发光法、免疫荧光法"</f>
        <v>乙型肝炎核心抗体测定(Anti-HBc)化学发光法、免疫荧光法</v>
      </c>
      <c r="B328" s="1">
        <v>20</v>
      </c>
      <c r="C328" s="1" t="str">
        <f t="shared" si="96"/>
        <v>项</v>
      </c>
      <c r="D328" s="1" t="str">
        <f t="shared" si="95"/>
        <v>项</v>
      </c>
      <c r="E328" s="1" t="str">
        <f t="shared" si="97"/>
        <v>检验费</v>
      </c>
    </row>
    <row r="329" spans="1:5">
      <c r="A329" s="1" t="str">
        <f>"乙型肝炎表面前S抗原测定（ELISA法）"</f>
        <v>乙型肝炎表面前S抗原测定（ELISA法）</v>
      </c>
      <c r="B329" s="1">
        <v>25</v>
      </c>
      <c r="C329" s="1" t="str">
        <f t="shared" si="96"/>
        <v>项</v>
      </c>
      <c r="D329" s="1" t="str">
        <f t="shared" si="95"/>
        <v>项</v>
      </c>
      <c r="E329" s="1" t="str">
        <f t="shared" si="97"/>
        <v>检验费</v>
      </c>
    </row>
    <row r="330" spans="1:5">
      <c r="A330" s="1" t="str">
        <f>"丙型肝炎RNA测定"</f>
        <v>丙型肝炎RNA测定</v>
      </c>
      <c r="B330" s="1">
        <v>55</v>
      </c>
      <c r="C330" s="1" t="str">
        <f t="shared" si="96"/>
        <v>项</v>
      </c>
      <c r="D330" s="1" t="str">
        <f t="shared" si="95"/>
        <v>项</v>
      </c>
      <c r="E330" s="1" t="str">
        <f t="shared" si="97"/>
        <v>检验费</v>
      </c>
    </row>
    <row r="331" spans="1:5">
      <c r="A331" s="1" t="str">
        <f>"丙型肝炎抗体测定(Anti-HCV)"</f>
        <v>丙型肝炎抗体测定(Anti-HCV)</v>
      </c>
      <c r="B331" s="1">
        <v>25</v>
      </c>
      <c r="C331" s="1" t="str">
        <f t="shared" si="96"/>
        <v>项</v>
      </c>
      <c r="D331" s="1" t="str">
        <f t="shared" si="95"/>
        <v>项</v>
      </c>
      <c r="E331" s="1" t="str">
        <f t="shared" si="97"/>
        <v>检验费</v>
      </c>
    </row>
    <row r="332" spans="1:5">
      <c r="A332" s="1" t="str">
        <f>"丙型肝炎抗体测定(Anti-HCV)各种发光法"</f>
        <v>丙型肝炎抗体测定(Anti-HCV)各种发光法</v>
      </c>
      <c r="B332" s="1">
        <v>95</v>
      </c>
      <c r="C332" s="1" t="str">
        <f t="shared" si="96"/>
        <v>项</v>
      </c>
      <c r="D332" s="1" t="str">
        <f t="shared" si="95"/>
        <v>项</v>
      </c>
      <c r="E332" s="1" t="str">
        <f t="shared" si="97"/>
        <v>检验费</v>
      </c>
    </row>
    <row r="333" spans="1:5">
      <c r="A333" s="1" t="str">
        <f>"戊型肝炎IgM抗体测定"</f>
        <v>戊型肝炎IgM抗体测定</v>
      </c>
      <c r="B333" s="1">
        <v>30</v>
      </c>
      <c r="C333" s="1">
        <v>1</v>
      </c>
      <c r="D333" s="1" t="str">
        <f>"次"</f>
        <v>次</v>
      </c>
      <c r="E333" s="1" t="str">
        <f t="shared" si="97"/>
        <v>检验费</v>
      </c>
    </row>
    <row r="334" spans="1:5">
      <c r="A334" s="1" t="str">
        <f>"戊型肝炎IgG抗体测定"</f>
        <v>戊型肝炎IgG抗体测定</v>
      </c>
      <c r="B334" s="1">
        <v>30</v>
      </c>
      <c r="C334" s="1">
        <v>1</v>
      </c>
      <c r="D334" s="1" t="str">
        <f>"次"</f>
        <v>次</v>
      </c>
      <c r="E334" s="1" t="str">
        <f t="shared" si="97"/>
        <v>检验费</v>
      </c>
    </row>
    <row r="335" spans="1:5">
      <c r="A335" s="1" t="str">
        <f>"人免疫缺陷病毒抗体测定(Anti-HIV)"</f>
        <v>人免疫缺陷病毒抗体测定(Anti-HIV)</v>
      </c>
      <c r="B335" s="1">
        <v>35</v>
      </c>
      <c r="C335" s="1" t="str">
        <f t="shared" ref="C335:C338" si="98">"项"</f>
        <v>项</v>
      </c>
      <c r="D335" s="1" t="str">
        <f t="shared" ref="D335:D354" si="99">"项"</f>
        <v>项</v>
      </c>
      <c r="E335" s="1" t="str">
        <f t="shared" si="97"/>
        <v>检验费</v>
      </c>
    </row>
    <row r="336" spans="1:5">
      <c r="A336" s="1" t="str">
        <f>"弓形体抗体测定IgM（各种免疫学方法）"</f>
        <v>弓形体抗体测定IgM（各种免疫学方法）</v>
      </c>
      <c r="B336" s="1">
        <v>25</v>
      </c>
      <c r="C336" s="1" t="str">
        <f>"-"</f>
        <v>-</v>
      </c>
      <c r="D336" s="1" t="str">
        <f t="shared" si="99"/>
        <v>项</v>
      </c>
      <c r="E336" s="1" t="str">
        <f t="shared" si="97"/>
        <v>检验费</v>
      </c>
    </row>
    <row r="337" spans="1:5">
      <c r="A337" s="1" t="str">
        <f>"风疹病毒抗体测定IgM（各种免疫学方法）"</f>
        <v>风疹病毒抗体测定IgM（各种免疫学方法）</v>
      </c>
      <c r="B337" s="1">
        <v>20</v>
      </c>
      <c r="C337" s="1" t="str">
        <f t="shared" si="98"/>
        <v>项</v>
      </c>
      <c r="D337" s="1" t="str">
        <f t="shared" si="99"/>
        <v>项</v>
      </c>
      <c r="E337" s="1" t="str">
        <f t="shared" si="97"/>
        <v>检验费</v>
      </c>
    </row>
    <row r="338" spans="1:5">
      <c r="A338" s="1" t="str">
        <f>"巨细胞病毒抗体测定IgM"</f>
        <v>巨细胞病毒抗体测定IgM</v>
      </c>
      <c r="B338" s="1">
        <v>25</v>
      </c>
      <c r="C338" s="1" t="str">
        <f t="shared" si="98"/>
        <v>项</v>
      </c>
      <c r="D338" s="1" t="str">
        <f t="shared" si="99"/>
        <v>项</v>
      </c>
      <c r="E338" s="1" t="str">
        <f t="shared" si="97"/>
        <v>检验费</v>
      </c>
    </row>
    <row r="339" spans="1:5">
      <c r="A339" s="1" t="str">
        <f>"单纯疱疹病毒Ⅱ型抗体测定（各种免疫学方法）"</f>
        <v>单纯疱疹病毒Ⅱ型抗体测定（各种免疫学方法）</v>
      </c>
      <c r="B339" s="1">
        <v>25</v>
      </c>
      <c r="C339" s="1" t="str">
        <f>"-"</f>
        <v>-</v>
      </c>
      <c r="D339" s="1" t="str">
        <f t="shared" si="99"/>
        <v>项</v>
      </c>
      <c r="E339" s="1" t="str">
        <f t="shared" si="97"/>
        <v>检验费</v>
      </c>
    </row>
    <row r="340" spans="1:5">
      <c r="A340" s="1" t="str">
        <f>"EB病毒抗体测定"</f>
        <v>EB病毒抗体测定</v>
      </c>
      <c r="B340" s="1">
        <v>20</v>
      </c>
      <c r="C340" s="1" t="str">
        <f t="shared" ref="C340:C347" si="100">"项"</f>
        <v>项</v>
      </c>
      <c r="D340" s="1" t="str">
        <f t="shared" si="99"/>
        <v>项</v>
      </c>
      <c r="E340" s="1" t="str">
        <f t="shared" si="97"/>
        <v>检验费</v>
      </c>
    </row>
    <row r="341" spans="1:5">
      <c r="A341" s="1" t="str">
        <f>"呼吸道合胞病毒抗体测定"</f>
        <v>呼吸道合胞病毒抗体测定</v>
      </c>
      <c r="B341" s="1">
        <v>20</v>
      </c>
      <c r="C341" s="1" t="str">
        <f t="shared" si="100"/>
        <v>项</v>
      </c>
      <c r="D341" s="1" t="str">
        <f t="shared" si="99"/>
        <v>项</v>
      </c>
      <c r="E341" s="1" t="str">
        <f t="shared" si="97"/>
        <v>检验费</v>
      </c>
    </row>
    <row r="342" spans="1:5">
      <c r="A342" s="1" t="str">
        <f>"呼吸道合胞病毒抗原测定"</f>
        <v>呼吸道合胞病毒抗原测定</v>
      </c>
      <c r="B342" s="1">
        <v>20</v>
      </c>
      <c r="C342" s="1" t="str">
        <f t="shared" si="100"/>
        <v>项</v>
      </c>
      <c r="D342" s="1" t="str">
        <f t="shared" si="99"/>
        <v>项</v>
      </c>
      <c r="E342" s="1" t="str">
        <f t="shared" si="97"/>
        <v>检验费</v>
      </c>
    </row>
    <row r="343" spans="1:5">
      <c r="A343" s="1" t="str">
        <f>"副流感病毒抗体测定"</f>
        <v>副流感病毒抗体测定</v>
      </c>
      <c r="B343" s="1">
        <v>20</v>
      </c>
      <c r="C343" s="1" t="str">
        <f t="shared" si="100"/>
        <v>项</v>
      </c>
      <c r="D343" s="1" t="str">
        <f t="shared" si="99"/>
        <v>项</v>
      </c>
      <c r="E343" s="1" t="str">
        <f t="shared" si="97"/>
        <v>检验费</v>
      </c>
    </row>
    <row r="344" spans="1:5">
      <c r="A344" s="1" t="str">
        <f>"腺病毒抗体测定"</f>
        <v>腺病毒抗体测定</v>
      </c>
      <c r="B344" s="1">
        <v>15</v>
      </c>
      <c r="C344" s="1" t="str">
        <f t="shared" si="100"/>
        <v>项</v>
      </c>
      <c r="D344" s="1" t="str">
        <f t="shared" si="99"/>
        <v>项</v>
      </c>
      <c r="E344" s="1" t="str">
        <f t="shared" si="97"/>
        <v>检验费</v>
      </c>
    </row>
    <row r="345" spans="1:5">
      <c r="A345" s="1" t="str">
        <f>"病毒血清学试验"</f>
        <v>病毒血清学试验</v>
      </c>
      <c r="B345" s="1">
        <v>25</v>
      </c>
      <c r="C345" s="1" t="str">
        <f t="shared" si="100"/>
        <v>项</v>
      </c>
      <c r="D345" s="1" t="str">
        <f t="shared" si="99"/>
        <v>项</v>
      </c>
      <c r="E345" s="1" t="str">
        <f t="shared" si="97"/>
        <v>检验费</v>
      </c>
    </row>
    <row r="346" spans="1:5">
      <c r="A346" s="1" t="str">
        <f>"细菌抗体测定（各种免疫学方法）"</f>
        <v>细菌抗体测定（各种免疫学方法）</v>
      </c>
      <c r="B346" s="1">
        <v>25</v>
      </c>
      <c r="C346" s="1" t="str">
        <f t="shared" si="100"/>
        <v>项</v>
      </c>
      <c r="D346" s="1" t="str">
        <f t="shared" si="99"/>
        <v>项</v>
      </c>
      <c r="E346" s="1" t="str">
        <f t="shared" si="97"/>
        <v>检验费</v>
      </c>
    </row>
    <row r="347" spans="1:5">
      <c r="A347" s="1" t="str">
        <f>"细菌抗体测定"</f>
        <v>细菌抗体测定</v>
      </c>
      <c r="B347" s="1">
        <v>45</v>
      </c>
      <c r="C347" s="1" t="str">
        <f t="shared" si="100"/>
        <v>项</v>
      </c>
      <c r="D347" s="1" t="str">
        <f t="shared" si="99"/>
        <v>项</v>
      </c>
      <c r="E347" s="1" t="str">
        <f t="shared" si="97"/>
        <v>检验费</v>
      </c>
    </row>
    <row r="348" spans="1:5">
      <c r="A348" s="1" t="str">
        <f>"抗链球菌溶血素O测定(ASO)（免疫法）"</f>
        <v>抗链球菌溶血素O测定(ASO)（免疫法）</v>
      </c>
      <c r="B348" s="1">
        <v>30</v>
      </c>
      <c r="C348" s="1" t="str">
        <f>"-"</f>
        <v>-</v>
      </c>
      <c r="D348" s="1" t="str">
        <f t="shared" si="99"/>
        <v>项</v>
      </c>
      <c r="E348" s="1" t="str">
        <f t="shared" si="97"/>
        <v>检验费</v>
      </c>
    </row>
    <row r="349" spans="1:5">
      <c r="A349" s="1" t="str">
        <f>"肺炎支原体血清学试验免疫印迹法"</f>
        <v>肺炎支原体血清学试验免疫印迹法</v>
      </c>
      <c r="B349" s="1">
        <v>45</v>
      </c>
      <c r="C349" s="1" t="str">
        <f t="shared" ref="C349:C354" si="101">"项"</f>
        <v>项</v>
      </c>
      <c r="D349" s="1" t="str">
        <f t="shared" si="99"/>
        <v>项</v>
      </c>
      <c r="E349" s="1" t="str">
        <f t="shared" si="97"/>
        <v>检验费</v>
      </c>
    </row>
    <row r="350" spans="1:5">
      <c r="A350" s="1" t="str">
        <f>"梅毒螺旋体特异抗体测定（凝集法）"</f>
        <v>梅毒螺旋体特异抗体测定（凝集法）</v>
      </c>
      <c r="B350" s="1">
        <v>20</v>
      </c>
      <c r="C350" s="1" t="str">
        <f t="shared" si="101"/>
        <v>项</v>
      </c>
      <c r="D350" s="1" t="str">
        <f t="shared" si="99"/>
        <v>项</v>
      </c>
      <c r="E350" s="1" t="str">
        <f t="shared" si="97"/>
        <v>检验费</v>
      </c>
    </row>
    <row r="351" spans="1:5">
      <c r="A351" s="1" t="str">
        <f>"梅毒螺旋体特异抗体测定ELISA法"</f>
        <v>梅毒螺旋体特异抗体测定ELISA法</v>
      </c>
      <c r="B351" s="1">
        <v>15</v>
      </c>
      <c r="C351" s="1" t="str">
        <f t="shared" si="101"/>
        <v>项</v>
      </c>
      <c r="D351" s="1" t="str">
        <f t="shared" si="99"/>
        <v>项</v>
      </c>
      <c r="E351" s="1" t="str">
        <f t="shared" si="97"/>
        <v>检验费</v>
      </c>
    </row>
    <row r="352" spans="1:5">
      <c r="A352" s="1" t="str">
        <f>"快速血浆反应素检测"</f>
        <v>快速血浆反应素检测</v>
      </c>
      <c r="B352" s="1">
        <v>20</v>
      </c>
      <c r="C352" s="1" t="str">
        <f t="shared" si="101"/>
        <v>项</v>
      </c>
      <c r="D352" s="1" t="str">
        <f t="shared" si="99"/>
        <v>项</v>
      </c>
      <c r="E352" s="1" t="str">
        <f t="shared" si="97"/>
        <v>检验费</v>
      </c>
    </row>
    <row r="353" spans="1:5">
      <c r="A353" s="1" t="str">
        <f>"快速血浆反应素测定(梅毒、定量)"</f>
        <v>快速血浆反应素测定(梅毒、定量)</v>
      </c>
      <c r="B353" s="1">
        <v>40</v>
      </c>
      <c r="C353" s="1" t="str">
        <f t="shared" si="101"/>
        <v>项</v>
      </c>
      <c r="D353" s="1" t="str">
        <f t="shared" si="99"/>
        <v>项</v>
      </c>
      <c r="E353" s="1" t="str">
        <f t="shared" si="97"/>
        <v>检验费</v>
      </c>
    </row>
    <row r="354" spans="1:5">
      <c r="A354" s="1" t="str">
        <f>"丙型肝炎病毒RNA测定（荧光定量检测）"</f>
        <v>丙型肝炎病毒RNA测定（荧光定量检测）</v>
      </c>
      <c r="B354" s="1">
        <v>150</v>
      </c>
      <c r="C354" s="1" t="str">
        <f t="shared" si="101"/>
        <v>项</v>
      </c>
      <c r="D354" s="1" t="str">
        <f t="shared" si="99"/>
        <v>项</v>
      </c>
      <c r="E354" s="1" t="str">
        <f t="shared" si="97"/>
        <v>检验费</v>
      </c>
    </row>
    <row r="355" spans="1:5">
      <c r="A355" s="1" t="str">
        <f>"人乳头瘤病毒分型检测"</f>
        <v>人乳头瘤病毒分型检测</v>
      </c>
      <c r="B355" s="1">
        <v>15</v>
      </c>
      <c r="C355" s="1" t="str">
        <f>"次"</f>
        <v>次</v>
      </c>
      <c r="D355" s="1" t="str">
        <f>"每个亚型"</f>
        <v>每个亚型</v>
      </c>
      <c r="E355" s="1" t="str">
        <f t="shared" si="97"/>
        <v>检验费</v>
      </c>
    </row>
    <row r="356" spans="1:5">
      <c r="A356" s="1" t="str">
        <f>"幽门螺杆菌快速检测"</f>
        <v>幽门螺杆菌快速检测</v>
      </c>
      <c r="B356" s="1">
        <v>46</v>
      </c>
      <c r="C356" s="1" t="str">
        <f t="shared" ref="C356:C360" si="102">"项"</f>
        <v>项</v>
      </c>
      <c r="D356" s="1" t="str">
        <f t="shared" ref="D356:D360" si="103">"项"</f>
        <v>项</v>
      </c>
      <c r="E356" s="1" t="str">
        <f t="shared" si="97"/>
        <v>检验费</v>
      </c>
    </row>
    <row r="357" spans="1:5">
      <c r="A357" s="1" t="str">
        <f>"13碳尿素呼气试验"</f>
        <v>13碳尿素呼气试验</v>
      </c>
      <c r="B357" s="1">
        <v>150</v>
      </c>
      <c r="C357" s="1" t="str">
        <f>"次"</f>
        <v>次</v>
      </c>
      <c r="D357" s="1" t="str">
        <f>"次"</f>
        <v>次</v>
      </c>
      <c r="E357" s="1" t="str">
        <f t="shared" si="97"/>
        <v>检验费</v>
      </c>
    </row>
    <row r="358" spans="1:5">
      <c r="A358" s="1" t="str">
        <f>"呼吸道感染病原体IgM抗体检测"</f>
        <v>呼吸道感染病原体IgM抗体检测</v>
      </c>
      <c r="B358" s="1">
        <v>45</v>
      </c>
      <c r="C358" s="1" t="str">
        <f t="shared" si="102"/>
        <v>项</v>
      </c>
      <c r="D358" s="1" t="str">
        <f t="shared" si="103"/>
        <v>项</v>
      </c>
      <c r="E358" s="1" t="str">
        <f t="shared" si="97"/>
        <v>检验费</v>
      </c>
    </row>
    <row r="359" spans="1:5">
      <c r="A359" s="1" t="str">
        <f>"新型冠状病毒抗体检测"</f>
        <v>新型冠状病毒抗体检测</v>
      </c>
      <c r="B359" s="1">
        <v>30</v>
      </c>
      <c r="C359" s="1" t="str">
        <f t="shared" si="102"/>
        <v>项</v>
      </c>
      <c r="D359" s="1" t="str">
        <f t="shared" si="103"/>
        <v>项</v>
      </c>
      <c r="E359" s="1" t="str">
        <f t="shared" si="97"/>
        <v>检验费</v>
      </c>
    </row>
    <row r="360" spans="1:5">
      <c r="A360" s="1" t="str">
        <f>"新型冠状病毒核酸检测"</f>
        <v>新型冠状病毒核酸检测</v>
      </c>
      <c r="B360" s="1">
        <v>16</v>
      </c>
      <c r="C360" s="1" t="str">
        <f t="shared" si="102"/>
        <v>项</v>
      </c>
      <c r="D360" s="1" t="str">
        <f t="shared" si="103"/>
        <v>项</v>
      </c>
      <c r="E360" s="1" t="str">
        <f t="shared" si="97"/>
        <v>检验费</v>
      </c>
    </row>
    <row r="361" spans="1:5">
      <c r="A361" s="1" t="str">
        <f>"新型冠状病毒核酸检测（混检）"</f>
        <v>新型冠状病毒核酸检测（混检）</v>
      </c>
      <c r="B361" s="1">
        <v>4</v>
      </c>
      <c r="C361" s="1" t="str">
        <f>"人次"</f>
        <v>人次</v>
      </c>
      <c r="D361" s="1" t="str">
        <f>"次"</f>
        <v>次</v>
      </c>
      <c r="E361" s="1" t="str">
        <f t="shared" si="97"/>
        <v>检验费</v>
      </c>
    </row>
    <row r="362" spans="1:5">
      <c r="A362" s="1" t="str">
        <f>"癌胚抗原测定(CEA)各种免疫学方法"</f>
        <v>癌胚抗原测定(CEA)各种免疫学方法</v>
      </c>
      <c r="B362" s="1">
        <v>15</v>
      </c>
      <c r="C362" s="1" t="str">
        <f t="shared" ref="C362:C368" si="104">"项"</f>
        <v>项</v>
      </c>
      <c r="D362" s="1" t="str">
        <f t="shared" ref="D362:D368" si="105">"项"</f>
        <v>项</v>
      </c>
      <c r="E362" s="1" t="str">
        <f t="shared" si="97"/>
        <v>检验费</v>
      </c>
    </row>
    <row r="363" spans="1:5">
      <c r="A363" s="1" t="str">
        <f>"(CEA)癌胚抗原测定"</f>
        <v>(CEA)癌胚抗原测定</v>
      </c>
      <c r="B363" s="1">
        <v>35</v>
      </c>
      <c r="C363" s="1" t="str">
        <f t="shared" si="104"/>
        <v>项</v>
      </c>
      <c r="D363" s="1" t="str">
        <f t="shared" si="105"/>
        <v>项</v>
      </c>
      <c r="E363" s="1" t="str">
        <f t="shared" si="97"/>
        <v>检验费</v>
      </c>
    </row>
    <row r="364" spans="1:5">
      <c r="A364" s="1" t="str">
        <f>"甲胎蛋白测定(AFP)各种免疫学方法"</f>
        <v>甲胎蛋白测定(AFP)各种免疫学方法</v>
      </c>
      <c r="B364" s="1">
        <v>15</v>
      </c>
      <c r="C364" s="1" t="str">
        <f t="shared" si="104"/>
        <v>项</v>
      </c>
      <c r="D364" s="1" t="str">
        <f t="shared" si="105"/>
        <v>项</v>
      </c>
      <c r="E364" s="1" t="str">
        <f t="shared" si="97"/>
        <v>检验费</v>
      </c>
    </row>
    <row r="365" spans="1:5">
      <c r="A365" s="1" t="str">
        <f>"(AFP)甲胎蛋白测定"</f>
        <v>(AFP)甲胎蛋白测定</v>
      </c>
      <c r="B365" s="1">
        <v>35</v>
      </c>
      <c r="C365" s="1" t="str">
        <f t="shared" si="104"/>
        <v>项</v>
      </c>
      <c r="D365" s="1" t="str">
        <f t="shared" si="105"/>
        <v>项</v>
      </c>
      <c r="E365" s="1" t="str">
        <f t="shared" si="97"/>
        <v>检验费</v>
      </c>
    </row>
    <row r="366" spans="1:5">
      <c r="A366" s="1" t="str">
        <f>"总前列腺特异性抗原测定(TPSA)各种免疫学方法"</f>
        <v>总前列腺特异性抗原测定(TPSA)各种免疫学方法</v>
      </c>
      <c r="B366" s="1">
        <v>50</v>
      </c>
      <c r="C366" s="1" t="str">
        <f t="shared" si="104"/>
        <v>项</v>
      </c>
      <c r="D366" s="1" t="str">
        <f t="shared" si="105"/>
        <v>项</v>
      </c>
      <c r="E366" s="1" t="str">
        <f t="shared" si="97"/>
        <v>检验费</v>
      </c>
    </row>
    <row r="367" spans="1:5">
      <c r="A367" s="1" t="str">
        <f>"游离前列腺特异性抗原测定(FPSA)"</f>
        <v>游离前列腺特异性抗原测定(FPSA)</v>
      </c>
      <c r="B367" s="1">
        <v>50</v>
      </c>
      <c r="C367" s="1" t="str">
        <f t="shared" si="104"/>
        <v>项</v>
      </c>
      <c r="D367" s="1" t="str">
        <f t="shared" si="105"/>
        <v>项</v>
      </c>
      <c r="E367" s="1" t="str">
        <f t="shared" si="97"/>
        <v>检验费</v>
      </c>
    </row>
    <row r="368" spans="1:5">
      <c r="A368" s="1" t="str">
        <f>"神经元特异性烯醇化酶测定(NSE)"</f>
        <v>神经元特异性烯醇化酶测定(NSE)</v>
      </c>
      <c r="B368" s="1">
        <v>50</v>
      </c>
      <c r="C368" s="1" t="str">
        <f t="shared" si="104"/>
        <v>项</v>
      </c>
      <c r="D368" s="1" t="str">
        <f t="shared" si="105"/>
        <v>项</v>
      </c>
      <c r="E368" s="1" t="str">
        <f t="shared" si="97"/>
        <v>检验费</v>
      </c>
    </row>
    <row r="369" spans="1:5">
      <c r="A369" s="1" t="str">
        <f>"细胞角蛋白19片段测定(CYFRA21-1)（化学发光法、荧光免疫法）"</f>
        <v>细胞角蛋白19片段测定(CYFRA21-1)（化学发光法、荧光免疫法）</v>
      </c>
      <c r="B369" s="1">
        <v>50</v>
      </c>
      <c r="C369" s="1" t="str">
        <f>"-"</f>
        <v>-</v>
      </c>
      <c r="D369" s="1" t="str">
        <f>"次"</f>
        <v>次</v>
      </c>
      <c r="E369" s="1" t="str">
        <f t="shared" si="97"/>
        <v>检验费</v>
      </c>
    </row>
    <row r="370" spans="1:5">
      <c r="A370" s="1" t="str">
        <f>"糖类抗原测定CA125(化学发光法、荧光免疫法)"</f>
        <v>糖类抗原测定CA125(化学发光法、荧光免疫法)</v>
      </c>
      <c r="B370" s="1">
        <v>50</v>
      </c>
      <c r="C370" s="1" t="str">
        <f t="shared" ref="C370:C373" si="106">"项"</f>
        <v>项</v>
      </c>
      <c r="D370" s="1" t="str">
        <f t="shared" ref="D370:D373" si="107">"项"</f>
        <v>项</v>
      </c>
      <c r="E370" s="1" t="str">
        <f t="shared" si="97"/>
        <v>检验费</v>
      </c>
    </row>
    <row r="371" spans="1:5">
      <c r="A371" s="1" t="str">
        <f>"糖类抗原测定CA19-9(化学发光法、荧光免疫法)"</f>
        <v>糖类抗原测定CA19-9(化学发光法、荧光免疫法)</v>
      </c>
      <c r="B371" s="1">
        <v>50</v>
      </c>
      <c r="C371" s="1" t="str">
        <f t="shared" si="106"/>
        <v>项</v>
      </c>
      <c r="D371" s="1" t="str">
        <f t="shared" si="107"/>
        <v>项</v>
      </c>
      <c r="E371" s="1" t="str">
        <f t="shared" si="97"/>
        <v>检验费</v>
      </c>
    </row>
    <row r="372" spans="1:5">
      <c r="A372" s="1" t="str">
        <f>"糖类抗原测定CA15-3(化学发光法、荧光免疫法)"</f>
        <v>糖类抗原测定CA15-3(化学发光法、荧光免疫法)</v>
      </c>
      <c r="B372" s="1">
        <v>50</v>
      </c>
      <c r="C372" s="1" t="str">
        <f t="shared" si="106"/>
        <v>项</v>
      </c>
      <c r="D372" s="1" t="str">
        <f t="shared" si="107"/>
        <v>项</v>
      </c>
      <c r="E372" s="1" t="str">
        <f t="shared" si="97"/>
        <v>检验费</v>
      </c>
    </row>
    <row r="373" spans="1:5">
      <c r="A373" s="1" t="str">
        <f>"糖类抗原测定CA72-4(化学发光法、荧光免疫法)"</f>
        <v>糖类抗原测定CA72-4(化学发光法、荧光免疫法)</v>
      </c>
      <c r="B373" s="1">
        <v>50</v>
      </c>
      <c r="C373" s="1" t="str">
        <f t="shared" si="106"/>
        <v>项</v>
      </c>
      <c r="D373" s="1" t="str">
        <f t="shared" si="107"/>
        <v>项</v>
      </c>
      <c r="E373" s="1" t="str">
        <f t="shared" si="97"/>
        <v>检验费</v>
      </c>
    </row>
    <row r="374" spans="1:5">
      <c r="A374" s="1" t="str">
        <f>"糖类抗原测定CA24-2(化学发光法、荧光免疫法)"</f>
        <v>糖类抗原测定CA24-2(化学发光法、荧光免疫法)</v>
      </c>
      <c r="B374" s="1">
        <v>50</v>
      </c>
      <c r="C374" s="1" t="str">
        <f t="shared" ref="C374:C377" si="108">"/"</f>
        <v>/</v>
      </c>
      <c r="D374" s="1" t="str">
        <f t="shared" ref="D374:D377" si="109">"次"</f>
        <v>次</v>
      </c>
      <c r="E374" s="1" t="str">
        <f t="shared" si="97"/>
        <v>检验费</v>
      </c>
    </row>
    <row r="375" spans="1:5">
      <c r="A375" s="1" t="str">
        <f>"糖类抗原测定CA130(化学发光法、荧光免疫法)"</f>
        <v>糖类抗原测定CA130(化学发光法、荧光免疫法)</v>
      </c>
      <c r="B375" s="1">
        <v>50</v>
      </c>
      <c r="C375" s="1" t="str">
        <f t="shared" si="108"/>
        <v>/</v>
      </c>
      <c r="D375" s="1" t="str">
        <f t="shared" si="109"/>
        <v>次</v>
      </c>
      <c r="E375" s="1" t="str">
        <f t="shared" si="97"/>
        <v>检验费</v>
      </c>
    </row>
    <row r="376" spans="1:5">
      <c r="A376" s="1" t="str">
        <f>"糖类抗原测定CA-50(化学发光法、荧光免疫法)"</f>
        <v>糖类抗原测定CA-50(化学发光法、荧光免疫法)</v>
      </c>
      <c r="B376" s="1">
        <v>50</v>
      </c>
      <c r="C376" s="1" t="str">
        <f t="shared" si="108"/>
        <v>/</v>
      </c>
      <c r="D376" s="1" t="str">
        <f t="shared" si="109"/>
        <v>次</v>
      </c>
      <c r="E376" s="1" t="str">
        <f t="shared" si="97"/>
        <v>检验费</v>
      </c>
    </row>
    <row r="377" spans="1:5">
      <c r="A377" s="1" t="str">
        <f>"糖类抗原测定CA-29(化学发光法、荧光免疫法)"</f>
        <v>糖类抗原测定CA-29(化学发光法、荧光免疫法)</v>
      </c>
      <c r="B377" s="1">
        <v>50</v>
      </c>
      <c r="C377" s="1" t="str">
        <f t="shared" si="108"/>
        <v>/</v>
      </c>
      <c r="D377" s="1" t="str">
        <f t="shared" si="109"/>
        <v>次</v>
      </c>
      <c r="E377" s="1" t="str">
        <f t="shared" si="97"/>
        <v>检验费</v>
      </c>
    </row>
    <row r="378" spans="1:5">
      <c r="A378" s="1" t="str">
        <f>"鳞状细胞癌相关抗原测定"</f>
        <v>鳞状细胞癌相关抗原测定</v>
      </c>
      <c r="B378" s="1">
        <v>50</v>
      </c>
      <c r="C378" s="1">
        <v>1</v>
      </c>
      <c r="D378" s="1" t="str">
        <f t="shared" ref="D378:D381" si="110">"项"</f>
        <v>项</v>
      </c>
      <c r="E378" s="1" t="str">
        <f t="shared" si="97"/>
        <v>检验费</v>
      </c>
    </row>
    <row r="379" spans="1:5">
      <c r="A379" s="1" t="str">
        <f>"铁蛋白测定各种发光法，定量测定"</f>
        <v>铁蛋白测定各种发光法，定量测定</v>
      </c>
      <c r="B379" s="1">
        <v>34</v>
      </c>
      <c r="C379" s="1" t="str">
        <f t="shared" ref="C379:C381" si="111">"项"</f>
        <v>项</v>
      </c>
      <c r="D379" s="1" t="str">
        <f t="shared" si="110"/>
        <v>项</v>
      </c>
      <c r="E379" s="1" t="str">
        <f t="shared" si="97"/>
        <v>检验费</v>
      </c>
    </row>
    <row r="380" spans="1:5">
      <c r="A380" s="1" t="str">
        <f>"恶性肿瘤特异生长因子（TSGF）测定"</f>
        <v>恶性肿瘤特异生长因子（TSGF）测定</v>
      </c>
      <c r="B380" s="1">
        <v>50</v>
      </c>
      <c r="C380" s="1" t="str">
        <f t="shared" si="111"/>
        <v>项</v>
      </c>
      <c r="D380" s="1" t="str">
        <f t="shared" si="110"/>
        <v>项</v>
      </c>
      <c r="E380" s="1" t="str">
        <f t="shared" si="97"/>
        <v>检验费</v>
      </c>
    </row>
    <row r="381" spans="1:5">
      <c r="A381" s="1" t="str">
        <f>"一般细菌涂片检查"</f>
        <v>一般细菌涂片检查</v>
      </c>
      <c r="B381" s="1">
        <v>10</v>
      </c>
      <c r="C381" s="1" t="str">
        <f t="shared" si="111"/>
        <v>项</v>
      </c>
      <c r="D381" s="1" t="str">
        <f t="shared" si="110"/>
        <v>项</v>
      </c>
      <c r="E381" s="1" t="str">
        <f t="shared" si="97"/>
        <v>检验费</v>
      </c>
    </row>
    <row r="382" spans="1:5">
      <c r="A382" s="1" t="str">
        <f>"特殊细菌涂片检查"</f>
        <v>特殊细菌涂片检查</v>
      </c>
      <c r="B382" s="1">
        <v>5</v>
      </c>
      <c r="C382" s="1" t="str">
        <f>"次"</f>
        <v>次</v>
      </c>
      <c r="D382" s="1" t="str">
        <f>"次"</f>
        <v>次</v>
      </c>
      <c r="E382" s="1" t="str">
        <f t="shared" si="97"/>
        <v>检验费</v>
      </c>
    </row>
    <row r="383" spans="1:5">
      <c r="A383" s="1" t="str">
        <f>"血培养及鉴定"</f>
        <v>血培养及鉴定</v>
      </c>
      <c r="B383" s="1">
        <v>100</v>
      </c>
      <c r="C383" s="1" t="str">
        <f t="shared" ref="C383:C391" si="112">"项"</f>
        <v>项</v>
      </c>
      <c r="D383" s="1" t="str">
        <f t="shared" ref="D383:D391" si="113">"项"</f>
        <v>项</v>
      </c>
      <c r="E383" s="1" t="str">
        <f t="shared" si="97"/>
        <v>检验费</v>
      </c>
    </row>
    <row r="384" spans="1:5">
      <c r="A384" s="1" t="str">
        <f>"嗜血杆菌培养"</f>
        <v>嗜血杆菌培养</v>
      </c>
      <c r="B384" s="1">
        <v>20</v>
      </c>
      <c r="C384" s="1" t="str">
        <f t="shared" si="112"/>
        <v>项</v>
      </c>
      <c r="D384" s="1" t="str">
        <f t="shared" si="113"/>
        <v>项</v>
      </c>
      <c r="E384" s="1" t="str">
        <f t="shared" si="97"/>
        <v>检验费</v>
      </c>
    </row>
    <row r="385" spans="1:5">
      <c r="A385" s="1" t="str">
        <f>"霍乱弧菌培养"</f>
        <v>霍乱弧菌培养</v>
      </c>
      <c r="B385" s="1">
        <v>20</v>
      </c>
      <c r="C385" s="1" t="str">
        <f t="shared" si="112"/>
        <v>项</v>
      </c>
      <c r="D385" s="1" t="str">
        <f t="shared" si="113"/>
        <v>项</v>
      </c>
      <c r="E385" s="1" t="str">
        <f t="shared" si="97"/>
        <v>检验费</v>
      </c>
    </row>
    <row r="386" spans="1:5">
      <c r="A386" s="1" t="str">
        <f>"幽门螺杆菌培养及鉴定"</f>
        <v>幽门螺杆菌培养及鉴定</v>
      </c>
      <c r="B386" s="1">
        <v>40</v>
      </c>
      <c r="C386" s="1" t="str">
        <f t="shared" si="112"/>
        <v>项</v>
      </c>
      <c r="D386" s="1" t="str">
        <f t="shared" si="113"/>
        <v>项</v>
      </c>
      <c r="E386" s="1" t="str">
        <f t="shared" si="97"/>
        <v>检验费</v>
      </c>
    </row>
    <row r="387" spans="1:5">
      <c r="A387" s="1" t="str">
        <f>"真菌培养及鉴定"</f>
        <v>真菌培养及鉴定</v>
      </c>
      <c r="B387" s="1">
        <v>25</v>
      </c>
      <c r="C387" s="1" t="str">
        <f t="shared" si="112"/>
        <v>项</v>
      </c>
      <c r="D387" s="1" t="str">
        <f t="shared" si="113"/>
        <v>项</v>
      </c>
      <c r="E387" s="1" t="str">
        <f t="shared" si="97"/>
        <v>检验费</v>
      </c>
    </row>
    <row r="388" spans="1:5">
      <c r="A388" s="1" t="str">
        <f>"支原体检查"</f>
        <v>支原体检查</v>
      </c>
      <c r="B388" s="1">
        <v>70</v>
      </c>
      <c r="C388" s="1" t="str">
        <f t="shared" si="112"/>
        <v>项</v>
      </c>
      <c r="D388" s="1" t="str">
        <f t="shared" si="113"/>
        <v>项</v>
      </c>
      <c r="E388" s="1" t="str">
        <f t="shared" si="97"/>
        <v>检验费</v>
      </c>
    </row>
    <row r="389" spans="1:5">
      <c r="A389" s="1" t="str">
        <f>"轮状病毒检测免疫学法"</f>
        <v>轮状病毒检测免疫学法</v>
      </c>
      <c r="B389" s="1">
        <v>15</v>
      </c>
      <c r="C389" s="1" t="str">
        <f t="shared" si="112"/>
        <v>项</v>
      </c>
      <c r="D389" s="1" t="str">
        <f t="shared" si="113"/>
        <v>项</v>
      </c>
      <c r="E389" s="1" t="str">
        <f t="shared" si="97"/>
        <v>检验费</v>
      </c>
    </row>
    <row r="390" spans="1:5">
      <c r="A390" s="1" t="str">
        <f>"轮状病毒检测（酶联免疫法、金标法）"</f>
        <v>轮状病毒检测（酶联免疫法、金标法）</v>
      </c>
      <c r="B390" s="1">
        <v>45</v>
      </c>
      <c r="C390" s="1" t="str">
        <f t="shared" si="112"/>
        <v>项</v>
      </c>
      <c r="D390" s="1" t="str">
        <f t="shared" si="113"/>
        <v>项</v>
      </c>
      <c r="E390" s="1" t="str">
        <f t="shared" si="97"/>
        <v>检验费</v>
      </c>
    </row>
    <row r="391" spans="1:5">
      <c r="A391" s="1" t="str">
        <f>"轮状病毒检测凝集法"</f>
        <v>轮状病毒检测凝集法</v>
      </c>
      <c r="B391" s="1">
        <v>7</v>
      </c>
      <c r="C391" s="1" t="str">
        <f t="shared" si="112"/>
        <v>项</v>
      </c>
      <c r="D391" s="1" t="str">
        <f t="shared" si="113"/>
        <v>项</v>
      </c>
      <c r="E391" s="1" t="str">
        <f t="shared" ref="E391:E406" si="114">"检验费"</f>
        <v>检验费</v>
      </c>
    </row>
    <row r="392" spans="1:5">
      <c r="A392" s="1" t="str">
        <f>"常规药敏定性试验手工法"</f>
        <v>常规药敏定性试验手工法</v>
      </c>
      <c r="B392" s="1">
        <v>20</v>
      </c>
      <c r="C392" s="1" t="str">
        <f>"次"</f>
        <v>次</v>
      </c>
      <c r="D392" s="1" t="str">
        <f>"次"</f>
        <v>次</v>
      </c>
      <c r="E392" s="1" t="str">
        <f t="shared" si="114"/>
        <v>检验费</v>
      </c>
    </row>
    <row r="393" spans="1:5">
      <c r="A393" s="1" t="str">
        <f>"细菌毒素测定"</f>
        <v>细菌毒素测定</v>
      </c>
      <c r="B393" s="1">
        <v>35</v>
      </c>
      <c r="C393" s="1" t="str">
        <f t="shared" ref="C393:C395" si="115">"项"</f>
        <v>项</v>
      </c>
      <c r="D393" s="1" t="str">
        <f t="shared" ref="D393:D395" si="116">"项"</f>
        <v>项</v>
      </c>
      <c r="E393" s="1" t="str">
        <f t="shared" si="114"/>
        <v>检验费</v>
      </c>
    </row>
    <row r="394" spans="1:5">
      <c r="A394" s="1" t="str">
        <f>"病原体乳胶凝集试验快速检测"</f>
        <v>病原体乳胶凝集试验快速检测</v>
      </c>
      <c r="B394" s="1">
        <v>60</v>
      </c>
      <c r="C394" s="1" t="str">
        <f t="shared" si="115"/>
        <v>项</v>
      </c>
      <c r="D394" s="1" t="str">
        <f t="shared" si="116"/>
        <v>项</v>
      </c>
      <c r="E394" s="1" t="str">
        <f t="shared" si="114"/>
        <v>检验费</v>
      </c>
    </row>
    <row r="395" spans="1:5">
      <c r="A395" s="1" t="str">
        <f>"细菌分型"</f>
        <v>细菌分型</v>
      </c>
      <c r="B395" s="1">
        <v>15</v>
      </c>
      <c r="C395" s="1" t="str">
        <f t="shared" si="115"/>
        <v>项</v>
      </c>
      <c r="D395" s="1" t="str">
        <f t="shared" si="116"/>
        <v>项</v>
      </c>
      <c r="E395" s="1" t="str">
        <f t="shared" si="114"/>
        <v>检验费</v>
      </c>
    </row>
    <row r="396" spans="1:5">
      <c r="A396" s="1" t="str">
        <f>"粪寄生虫镜检"</f>
        <v>粪寄生虫镜检</v>
      </c>
      <c r="B396" s="1">
        <v>2</v>
      </c>
      <c r="C396" s="1" t="str">
        <f>"-"</f>
        <v>-</v>
      </c>
      <c r="D396" s="1" t="str">
        <f>"次"</f>
        <v>次</v>
      </c>
      <c r="E396" s="1" t="str">
        <f t="shared" si="114"/>
        <v>检验费</v>
      </c>
    </row>
    <row r="397" spans="1:5">
      <c r="A397" s="1" t="str">
        <f>"血液疟原虫检查"</f>
        <v>血液疟原虫检查</v>
      </c>
      <c r="B397" s="1" t="str">
        <f>"0"</f>
        <v>0</v>
      </c>
      <c r="C397" s="1" t="str">
        <f t="shared" ref="C397:C399" si="117">"项"</f>
        <v>项</v>
      </c>
      <c r="D397" s="1" t="str">
        <f t="shared" ref="D397:D399" si="118">"项"</f>
        <v>项</v>
      </c>
      <c r="E397" s="1" t="str">
        <f t="shared" si="114"/>
        <v>检验费</v>
      </c>
    </row>
    <row r="398" spans="1:5">
      <c r="A398" s="1" t="str">
        <f>"血液微丝蚴检查"</f>
        <v>血液微丝蚴检查</v>
      </c>
      <c r="B398" s="1">
        <v>1</v>
      </c>
      <c r="C398" s="1" t="str">
        <f t="shared" si="117"/>
        <v>项</v>
      </c>
      <c r="D398" s="1" t="str">
        <f t="shared" si="118"/>
        <v>项</v>
      </c>
      <c r="E398" s="1" t="str">
        <f t="shared" si="114"/>
        <v>检验费</v>
      </c>
    </row>
    <row r="399" spans="1:5">
      <c r="A399" s="1" t="str">
        <f>"唐氏综合症筛查"</f>
        <v>唐氏综合症筛查</v>
      </c>
      <c r="B399" s="1" t="str">
        <f>"0"</f>
        <v>0</v>
      </c>
      <c r="C399" s="1" t="str">
        <f t="shared" si="117"/>
        <v>项</v>
      </c>
      <c r="D399" s="1" t="str">
        <f t="shared" si="118"/>
        <v>项</v>
      </c>
      <c r="E399" s="1" t="str">
        <f t="shared" si="114"/>
        <v>检验费</v>
      </c>
    </row>
    <row r="400" spans="1:5">
      <c r="A400" s="1" t="str">
        <f>"唐氏综合症筛查及唐氏综合症风险率计算"</f>
        <v>唐氏综合症筛查及唐氏综合症风险率计算</v>
      </c>
      <c r="B400" s="1">
        <v>110</v>
      </c>
      <c r="C400" s="1" t="str">
        <f t="shared" ref="C400:C406" si="119">"次"</f>
        <v>次</v>
      </c>
      <c r="D400" s="1" t="str">
        <f t="shared" ref="D400:D406" si="120">"次"</f>
        <v>次</v>
      </c>
      <c r="E400" s="1" t="str">
        <f t="shared" si="114"/>
        <v>检验费</v>
      </c>
    </row>
    <row r="401" spans="1:5">
      <c r="A401" s="1" t="str">
        <f>"苯丙氨酸测定（PKU）"</f>
        <v>苯丙氨酸测定（PKU）</v>
      </c>
      <c r="B401" s="1">
        <v>30</v>
      </c>
      <c r="C401" s="1" t="str">
        <f>"项"</f>
        <v>项</v>
      </c>
      <c r="D401" s="1" t="str">
        <f>"项"</f>
        <v>项</v>
      </c>
      <c r="E401" s="1" t="str">
        <f t="shared" si="114"/>
        <v>检验费</v>
      </c>
    </row>
    <row r="402" spans="1:5">
      <c r="A402" s="1" t="str">
        <f>"ABO红细胞血清定型(反定)"</f>
        <v>ABO红细胞血清定型(反定)</v>
      </c>
      <c r="B402" s="1">
        <v>3</v>
      </c>
      <c r="C402" s="1" t="str">
        <f t="shared" si="119"/>
        <v>次</v>
      </c>
      <c r="D402" s="1" t="str">
        <f t="shared" si="120"/>
        <v>次</v>
      </c>
      <c r="E402" s="1" t="str">
        <f t="shared" si="114"/>
        <v>检验费</v>
      </c>
    </row>
    <row r="403" spans="1:5">
      <c r="A403" s="1" t="str">
        <f>"ABO红细胞定型"</f>
        <v>ABO红细胞定型</v>
      </c>
      <c r="B403" s="1">
        <v>5</v>
      </c>
      <c r="C403" s="1" t="str">
        <f t="shared" si="119"/>
        <v>次</v>
      </c>
      <c r="D403" s="1" t="str">
        <f t="shared" si="120"/>
        <v>次</v>
      </c>
      <c r="E403" s="1" t="str">
        <f t="shared" si="114"/>
        <v>检验费</v>
      </c>
    </row>
    <row r="404" spans="1:5">
      <c r="A404" s="1" t="str">
        <f>"Rh血型鉴定"</f>
        <v>Rh血型鉴定</v>
      </c>
      <c r="B404" s="1">
        <v>10</v>
      </c>
      <c r="C404" s="1" t="str">
        <f t="shared" si="119"/>
        <v>次</v>
      </c>
      <c r="D404" s="1" t="str">
        <f t="shared" si="120"/>
        <v>次</v>
      </c>
      <c r="E404" s="1" t="str">
        <f t="shared" si="114"/>
        <v>检验费</v>
      </c>
    </row>
    <row r="405" spans="1:5">
      <c r="A405" s="1" t="str">
        <f>"血型抗体效价测定"</f>
        <v>血型抗体效价测定</v>
      </c>
      <c r="B405" s="1">
        <v>50</v>
      </c>
      <c r="C405" s="1" t="str">
        <f t="shared" si="119"/>
        <v>次</v>
      </c>
      <c r="D405" s="1" t="str">
        <f t="shared" si="120"/>
        <v>次</v>
      </c>
      <c r="E405" s="1" t="str">
        <f t="shared" si="114"/>
        <v>检验费</v>
      </c>
    </row>
    <row r="406" spans="1:5">
      <c r="A406" s="1" t="str">
        <f>"淋巴细胞毒试验"</f>
        <v>淋巴细胞毒试验</v>
      </c>
      <c r="B406" s="1">
        <v>30</v>
      </c>
      <c r="C406" s="1" t="str">
        <f t="shared" si="119"/>
        <v>次</v>
      </c>
      <c r="D406" s="1" t="str">
        <f t="shared" si="120"/>
        <v>次</v>
      </c>
      <c r="E406" s="1" t="str">
        <f t="shared" si="114"/>
        <v>检验费</v>
      </c>
    </row>
    <row r="407" spans="1:5">
      <c r="A407" s="1" t="str">
        <f>"脱落细胞学检查与诊断"</f>
        <v>脱落细胞学检查与诊断</v>
      </c>
      <c r="B407" s="1">
        <v>39</v>
      </c>
      <c r="C407" s="1" t="str">
        <f t="shared" ref="C407:C412" si="121">"例"</f>
        <v>例</v>
      </c>
      <c r="D407" s="1" t="str">
        <f t="shared" ref="D407:D409" si="122">"例"</f>
        <v>例</v>
      </c>
      <c r="E407" s="1" t="str">
        <f t="shared" ref="E407:E414" si="123">"病理检查"</f>
        <v>病理检查</v>
      </c>
    </row>
    <row r="408" spans="1:5">
      <c r="A408" s="1" t="str">
        <f>"脱落细胞学检查与诊断(痰)"</f>
        <v>脱落细胞学检查与诊断(痰)</v>
      </c>
      <c r="B408" s="1">
        <v>39</v>
      </c>
      <c r="C408" s="1">
        <v>1</v>
      </c>
      <c r="D408" s="1" t="str">
        <f t="shared" si="122"/>
        <v>例</v>
      </c>
      <c r="E408" s="1" t="str">
        <f t="shared" si="123"/>
        <v>病理检查</v>
      </c>
    </row>
    <row r="409" spans="1:5">
      <c r="A409" s="1" t="str">
        <f>"内镜组织活检检查与诊断"</f>
        <v>内镜组织活检检查与诊断</v>
      </c>
      <c r="B409" s="1">
        <v>122</v>
      </c>
      <c r="C409" s="1" t="str">
        <f t="shared" si="121"/>
        <v>例</v>
      </c>
      <c r="D409" s="1" t="str">
        <f t="shared" si="122"/>
        <v>例</v>
      </c>
      <c r="E409" s="1" t="str">
        <f t="shared" si="123"/>
        <v>病理检查</v>
      </c>
    </row>
    <row r="410" spans="1:5">
      <c r="A410" s="1" t="str">
        <f>"内镜组织活检检查与诊断每增加一张切片加收"</f>
        <v>内镜组织活检检查与诊断每增加一张切片加收</v>
      </c>
      <c r="B410" s="1">
        <v>30</v>
      </c>
      <c r="C410" s="1" t="str">
        <f>"张"</f>
        <v>张</v>
      </c>
      <c r="D410" s="1" t="str">
        <f>"张"</f>
        <v>张</v>
      </c>
      <c r="E410" s="1" t="str">
        <f t="shared" si="123"/>
        <v>病理检查</v>
      </c>
    </row>
    <row r="411" spans="1:5">
      <c r="A411" s="1" t="str">
        <f>"局部切除组织活检检查与诊断"</f>
        <v>局部切除组织活检检查与诊断</v>
      </c>
      <c r="B411" s="1">
        <v>159</v>
      </c>
      <c r="C411" s="1" t="str">
        <f>"每个部位"</f>
        <v>每个部位</v>
      </c>
      <c r="D411" s="1" t="str">
        <f>"每个部位"</f>
        <v>每个部位</v>
      </c>
      <c r="E411" s="1" t="str">
        <f t="shared" si="123"/>
        <v>病理检查</v>
      </c>
    </row>
    <row r="412" spans="1:5">
      <c r="A412" s="1" t="str">
        <f>"手术标本检查与诊断"</f>
        <v>手术标本检查与诊断</v>
      </c>
      <c r="B412" s="1">
        <v>160</v>
      </c>
      <c r="C412" s="1" t="str">
        <f t="shared" si="121"/>
        <v>例</v>
      </c>
      <c r="D412" s="1" t="str">
        <f>"例"</f>
        <v>例</v>
      </c>
      <c r="E412" s="1" t="str">
        <f t="shared" si="123"/>
        <v>病理检查</v>
      </c>
    </row>
    <row r="413" spans="1:5">
      <c r="A413" s="1" t="str">
        <f>"手术标本检查与诊断超过基价每个加收"</f>
        <v>手术标本检查与诊断超过基价每个加收</v>
      </c>
      <c r="B413" s="1">
        <v>10</v>
      </c>
      <c r="C413" s="1" t="str">
        <f>"个"</f>
        <v>个</v>
      </c>
      <c r="D413" s="1" t="str">
        <f>"个"</f>
        <v>个</v>
      </c>
      <c r="E413" s="1" t="str">
        <f t="shared" si="123"/>
        <v>病理检查</v>
      </c>
    </row>
    <row r="414" spans="1:5">
      <c r="A414" s="1" t="str">
        <f>"特殊染色及酶组织化学染色诊断"</f>
        <v>特殊染色及酶组织化学染色诊断</v>
      </c>
      <c r="B414" s="1">
        <v>80</v>
      </c>
      <c r="C414" s="1" t="str">
        <f t="shared" ref="C414:C417" si="124">"次"</f>
        <v>次</v>
      </c>
      <c r="D414" s="1" t="str">
        <f t="shared" ref="D414:D418" si="125">"次"</f>
        <v>次</v>
      </c>
      <c r="E414" s="1" t="str">
        <f t="shared" si="123"/>
        <v>病理检查</v>
      </c>
    </row>
    <row r="415" spans="1:5">
      <c r="A415" s="1" t="str">
        <f>"脱氧核糖核酸(DNA)测序"</f>
        <v>脱氧核糖核酸(DNA)测序</v>
      </c>
      <c r="B415" s="1">
        <v>400</v>
      </c>
      <c r="C415" s="1" t="str">
        <f>"项"</f>
        <v>项</v>
      </c>
      <c r="D415" s="1" t="str">
        <f>"项"</f>
        <v>项</v>
      </c>
      <c r="E415" s="1" t="str">
        <f>"检验费"</f>
        <v>检验费</v>
      </c>
    </row>
    <row r="416" spans="1:5">
      <c r="A416" s="1" t="str">
        <f>"荧光定量脱氧核糖核酸多聚酶链反应伴随诊断加收"</f>
        <v>荧光定量脱氧核糖核酸多聚酶链反应伴随诊断加收</v>
      </c>
      <c r="B416" s="1">
        <v>200</v>
      </c>
      <c r="C416" s="1" t="str">
        <f t="shared" si="124"/>
        <v>次</v>
      </c>
      <c r="D416" s="1" t="str">
        <f t="shared" si="125"/>
        <v>次</v>
      </c>
      <c r="E416" s="1" t="str">
        <f>"检验费"</f>
        <v>检验费</v>
      </c>
    </row>
    <row r="417" spans="1:5">
      <c r="A417" s="1" t="str">
        <f>"病理图文报告"</f>
        <v>病理图文报告</v>
      </c>
      <c r="B417" s="1">
        <v>30</v>
      </c>
      <c r="C417" s="1" t="str">
        <f t="shared" si="124"/>
        <v>次</v>
      </c>
      <c r="D417" s="1" t="str">
        <f t="shared" si="125"/>
        <v>次</v>
      </c>
      <c r="E417" s="1" t="str">
        <f>"病理检查"</f>
        <v>病理检查</v>
      </c>
    </row>
    <row r="418" spans="1:5">
      <c r="A418" s="1" t="str">
        <f>"液基薄层细胞制片术(TCT)"</f>
        <v>液基薄层细胞制片术(TCT)</v>
      </c>
      <c r="B418" s="1">
        <v>155</v>
      </c>
      <c r="C418" s="1" t="str">
        <f>"-"</f>
        <v>-</v>
      </c>
      <c r="D418" s="1" t="str">
        <f t="shared" si="125"/>
        <v>次</v>
      </c>
      <c r="E418" s="1" t="str">
        <f>"病理检查"</f>
        <v>病理检查</v>
      </c>
    </row>
    <row r="419" spans="1:5">
      <c r="A419" s="1" t="str">
        <f>"氩气刀治疗加收"</f>
        <v>氩气刀治疗加收</v>
      </c>
      <c r="B419" s="1">
        <v>100</v>
      </c>
      <c r="C419" s="1" t="str">
        <f t="shared" ref="C419:C425" si="126">"次"</f>
        <v>次</v>
      </c>
      <c r="D419" s="1" t="str">
        <f t="shared" ref="D419:D425" si="127">"次"</f>
        <v>次</v>
      </c>
      <c r="E419" s="1" t="str">
        <f t="shared" ref="E419:E424" si="128">"治疗费"</f>
        <v>治疗费</v>
      </c>
    </row>
    <row r="420" spans="1:5">
      <c r="A420" s="1" t="str">
        <f>"感觉阈值测量"</f>
        <v>感觉阈值测量</v>
      </c>
      <c r="B420" s="1">
        <v>26</v>
      </c>
      <c r="C420" s="1" t="str">
        <f>"-"</f>
        <v>-</v>
      </c>
      <c r="D420" s="1" t="str">
        <f t="shared" si="127"/>
        <v>次</v>
      </c>
      <c r="E420" s="1" t="str">
        <f>"检查费"</f>
        <v>检查费</v>
      </c>
    </row>
    <row r="421" spans="1:5">
      <c r="A421" s="1" t="str">
        <f>"葡萄糖耐量试验"</f>
        <v>葡萄糖耐量试验</v>
      </c>
      <c r="B421" s="1">
        <v>20</v>
      </c>
      <c r="C421" s="1" t="str">
        <f t="shared" si="126"/>
        <v>次</v>
      </c>
      <c r="D421" s="1" t="str">
        <f t="shared" si="127"/>
        <v>次</v>
      </c>
      <c r="E421" s="1" t="str">
        <f t="shared" si="128"/>
        <v>治疗费</v>
      </c>
    </row>
    <row r="422" spans="1:5">
      <c r="A422" s="1" t="str">
        <f>"葡萄糖耐量试验（静脉）"</f>
        <v>葡萄糖耐量试验（静脉）</v>
      </c>
      <c r="B422" s="1">
        <v>15</v>
      </c>
      <c r="C422" s="1">
        <v>1</v>
      </c>
      <c r="D422" s="1" t="str">
        <f t="shared" si="127"/>
        <v>次</v>
      </c>
      <c r="E422" s="1" t="str">
        <f>"检验费"</f>
        <v>检验费</v>
      </c>
    </row>
    <row r="423" spans="1:5">
      <c r="A423" s="1" t="str">
        <f>"葡萄糖耐量试验（口服）"</f>
        <v>葡萄糖耐量试验（口服）</v>
      </c>
      <c r="B423" s="1">
        <v>20</v>
      </c>
      <c r="C423" s="1">
        <v>1</v>
      </c>
      <c r="D423" s="1" t="str">
        <f t="shared" si="127"/>
        <v>次</v>
      </c>
      <c r="E423" s="1" t="str">
        <f t="shared" si="128"/>
        <v>治疗费</v>
      </c>
    </row>
    <row r="424" spans="1:5">
      <c r="A424" s="1" t="str">
        <f>"馒头餐糖耐量试验"</f>
        <v>馒头餐糖耐量试验</v>
      </c>
      <c r="B424" s="1">
        <v>20</v>
      </c>
      <c r="C424" s="1" t="str">
        <f t="shared" si="126"/>
        <v>次</v>
      </c>
      <c r="D424" s="1" t="str">
        <f t="shared" si="127"/>
        <v>次</v>
      </c>
      <c r="E424" s="1" t="str">
        <f t="shared" si="128"/>
        <v>治疗费</v>
      </c>
    </row>
    <row r="425" spans="1:5">
      <c r="A425" s="1" t="str">
        <f>"电脑血糖监测"</f>
        <v>电脑血糖监测</v>
      </c>
      <c r="B425" s="1">
        <v>5.2</v>
      </c>
      <c r="C425" s="1" t="str">
        <f t="shared" si="126"/>
        <v>次</v>
      </c>
      <c r="D425" s="1" t="str">
        <f t="shared" si="127"/>
        <v>次</v>
      </c>
      <c r="E425" s="1" t="str">
        <f>"检验费"</f>
        <v>检验费</v>
      </c>
    </row>
    <row r="426" spans="1:5">
      <c r="A426" s="1" t="str">
        <f>"连续动态血糖监测"</f>
        <v>连续动态血糖监测</v>
      </c>
      <c r="B426" s="1">
        <v>650</v>
      </c>
      <c r="C426" s="1" t="str">
        <f t="shared" ref="C426:C447" si="129">"次"</f>
        <v>次</v>
      </c>
      <c r="D426" s="1" t="str">
        <f t="shared" ref="D426:D433" si="130">"次"</f>
        <v>次</v>
      </c>
      <c r="E426" s="1" t="str">
        <f t="shared" ref="E426:E432" si="131">"检查费"</f>
        <v>检查费</v>
      </c>
    </row>
    <row r="427" spans="1:5">
      <c r="A427" s="1" t="str">
        <f>"普通视力检查"</f>
        <v>普通视力检查</v>
      </c>
      <c r="B427" s="1">
        <v>5</v>
      </c>
      <c r="C427" s="1" t="str">
        <f t="shared" si="129"/>
        <v>次</v>
      </c>
      <c r="D427" s="1" t="str">
        <f t="shared" si="130"/>
        <v>次</v>
      </c>
      <c r="E427" s="1" t="str">
        <f t="shared" si="131"/>
        <v>检查费</v>
      </c>
    </row>
    <row r="428" spans="1:5">
      <c r="A428" s="1" t="str">
        <f>"选择性观看检查"</f>
        <v>选择性观看检查</v>
      </c>
      <c r="B428" s="1">
        <v>20</v>
      </c>
      <c r="C428" s="1" t="str">
        <f t="shared" si="129"/>
        <v>次</v>
      </c>
      <c r="D428" s="1" t="str">
        <f t="shared" si="130"/>
        <v>次</v>
      </c>
      <c r="E428" s="1" t="str">
        <f t="shared" si="131"/>
        <v>检查费</v>
      </c>
    </row>
    <row r="429" spans="1:5">
      <c r="A429" s="1" t="str">
        <f>"视网膜视力检查"</f>
        <v>视网膜视力检查</v>
      </c>
      <c r="B429" s="1">
        <v>26</v>
      </c>
      <c r="C429" s="1" t="str">
        <f t="shared" si="129"/>
        <v>次</v>
      </c>
      <c r="D429" s="1" t="str">
        <f t="shared" si="130"/>
        <v>次</v>
      </c>
      <c r="E429" s="1" t="str">
        <f t="shared" si="131"/>
        <v>检查费</v>
      </c>
    </row>
    <row r="430" spans="1:5">
      <c r="A430" s="1" t="str">
        <f>"斜视度测定"</f>
        <v>斜视度测定</v>
      </c>
      <c r="B430" s="1">
        <v>18</v>
      </c>
      <c r="C430" s="1" t="str">
        <f t="shared" si="129"/>
        <v>次</v>
      </c>
      <c r="D430" s="1" t="str">
        <f t="shared" si="130"/>
        <v>次</v>
      </c>
      <c r="E430" s="1" t="str">
        <f t="shared" si="131"/>
        <v>检查费</v>
      </c>
    </row>
    <row r="431" spans="1:5">
      <c r="A431" s="1" t="str">
        <f>"三棱镜检查"</f>
        <v>三棱镜检查</v>
      </c>
      <c r="B431" s="1">
        <v>5.2</v>
      </c>
      <c r="C431" s="1" t="str">
        <f t="shared" si="129"/>
        <v>次</v>
      </c>
      <c r="D431" s="1" t="str">
        <f t="shared" si="130"/>
        <v>次</v>
      </c>
      <c r="E431" s="1" t="str">
        <f t="shared" si="131"/>
        <v>检查费</v>
      </c>
    </row>
    <row r="432" spans="1:5">
      <c r="A432" s="1" t="str">
        <f>"色觉检查"</f>
        <v>色觉检查</v>
      </c>
      <c r="B432" s="1">
        <v>7</v>
      </c>
      <c r="C432" s="1" t="str">
        <f t="shared" si="129"/>
        <v>次</v>
      </c>
      <c r="D432" s="1" t="str">
        <f t="shared" si="130"/>
        <v>次</v>
      </c>
      <c r="E432" s="1" t="str">
        <f t="shared" si="131"/>
        <v>检查费</v>
      </c>
    </row>
    <row r="433" spans="1:5">
      <c r="A433" s="1" t="str">
        <f>"暗适应测定"</f>
        <v>暗适应测定</v>
      </c>
      <c r="B433" s="1">
        <v>26</v>
      </c>
      <c r="C433" s="1" t="str">
        <f t="shared" si="129"/>
        <v>次</v>
      </c>
      <c r="D433" s="1" t="str">
        <f t="shared" si="130"/>
        <v>次</v>
      </c>
      <c r="E433" s="1" t="str">
        <f>"治疗费"</f>
        <v>治疗费</v>
      </c>
    </row>
    <row r="434" spans="1:5">
      <c r="A434" s="1" t="str">
        <f>"眼压检查"</f>
        <v>眼压检查</v>
      </c>
      <c r="B434" s="1">
        <v>13</v>
      </c>
      <c r="C434" s="1" t="str">
        <f t="shared" si="129"/>
        <v>次</v>
      </c>
      <c r="D434" s="1" t="str">
        <f t="shared" ref="D434:D437" si="132">"次(双眼)"</f>
        <v>次(双眼)</v>
      </c>
      <c r="E434" s="1" t="str">
        <f t="shared" ref="E434:E436" si="133">"检查费"</f>
        <v>检查费</v>
      </c>
    </row>
    <row r="435" spans="1:5">
      <c r="A435" s="1" t="str">
        <f>"上睑下垂检查"</f>
        <v>上睑下垂检查</v>
      </c>
      <c r="B435" s="1">
        <v>6.5</v>
      </c>
      <c r="C435" s="1" t="str">
        <f t="shared" si="129"/>
        <v>次</v>
      </c>
      <c r="D435" s="1" t="str">
        <f t="shared" ref="D435:D442" si="134">"次"</f>
        <v>次</v>
      </c>
      <c r="E435" s="1" t="str">
        <f t="shared" si="133"/>
        <v>检查费</v>
      </c>
    </row>
    <row r="436" spans="1:5">
      <c r="A436" s="1" t="str">
        <f>"泪液分泌功能测定"</f>
        <v>泪液分泌功能测定</v>
      </c>
      <c r="B436" s="1">
        <v>5</v>
      </c>
      <c r="C436" s="1" t="str">
        <f t="shared" si="129"/>
        <v>次</v>
      </c>
      <c r="D436" s="1" t="str">
        <f t="shared" si="132"/>
        <v>次(双眼)</v>
      </c>
      <c r="E436" s="1" t="str">
        <f t="shared" si="133"/>
        <v>检查费</v>
      </c>
    </row>
    <row r="437" spans="1:5">
      <c r="A437" s="1" t="str">
        <f>"泪道冲洗"</f>
        <v>泪道冲洗</v>
      </c>
      <c r="B437" s="1">
        <v>6</v>
      </c>
      <c r="C437" s="1" t="str">
        <f t="shared" si="129"/>
        <v>次</v>
      </c>
      <c r="D437" s="1" t="str">
        <f t="shared" si="132"/>
        <v>次(双眼)</v>
      </c>
      <c r="E437" s="1" t="str">
        <f>"治疗费"</f>
        <v>治疗费</v>
      </c>
    </row>
    <row r="438" spans="1:5">
      <c r="A438" s="1" t="str">
        <f>"青光眼诱导试验"</f>
        <v>青光眼诱导试验</v>
      </c>
      <c r="B438" s="1">
        <v>10</v>
      </c>
      <c r="C438" s="1" t="str">
        <f t="shared" si="129"/>
        <v>次</v>
      </c>
      <c r="D438" s="1" t="str">
        <f t="shared" si="134"/>
        <v>次</v>
      </c>
      <c r="E438" s="1" t="str">
        <f t="shared" ref="E438:E443" si="135">"检查费"</f>
        <v>检查费</v>
      </c>
    </row>
    <row r="439" spans="1:5">
      <c r="A439" s="1" t="str">
        <f>"角膜荧光素染色检查"</f>
        <v>角膜荧光素染色检查</v>
      </c>
      <c r="B439" s="1">
        <v>8</v>
      </c>
      <c r="C439" s="1" t="str">
        <f t="shared" si="129"/>
        <v>次</v>
      </c>
      <c r="D439" s="1" t="str">
        <f t="shared" si="134"/>
        <v>次</v>
      </c>
      <c r="E439" s="1" t="str">
        <f t="shared" si="135"/>
        <v>检查费</v>
      </c>
    </row>
    <row r="440" spans="1:5">
      <c r="A440" s="1" t="str">
        <f>"角膜知觉检查"</f>
        <v>角膜知觉检查</v>
      </c>
      <c r="B440" s="1">
        <v>13</v>
      </c>
      <c r="C440" s="1" t="str">
        <f t="shared" si="129"/>
        <v>次</v>
      </c>
      <c r="D440" s="1" t="str">
        <f t="shared" si="134"/>
        <v>次</v>
      </c>
      <c r="E440" s="1" t="str">
        <f t="shared" si="135"/>
        <v>检查费</v>
      </c>
    </row>
    <row r="441" spans="1:5">
      <c r="A441" s="1" t="str">
        <f>"房水荧光测定"</f>
        <v>房水荧光测定</v>
      </c>
      <c r="B441" s="1">
        <v>13</v>
      </c>
      <c r="C441" s="1" t="str">
        <f t="shared" si="129"/>
        <v>次</v>
      </c>
      <c r="D441" s="1" t="str">
        <f t="shared" si="134"/>
        <v>次</v>
      </c>
      <c r="E441" s="1" t="str">
        <f t="shared" si="135"/>
        <v>检查费</v>
      </c>
    </row>
    <row r="442" spans="1:5">
      <c r="A442" s="1" t="str">
        <f>"裂隙灯检查"</f>
        <v>裂隙灯检查</v>
      </c>
      <c r="B442" s="1">
        <v>6</v>
      </c>
      <c r="C442" s="1" t="str">
        <f t="shared" si="129"/>
        <v>次</v>
      </c>
      <c r="D442" s="1" t="str">
        <f t="shared" si="134"/>
        <v>次</v>
      </c>
      <c r="E442" s="1" t="str">
        <f t="shared" si="135"/>
        <v>检查费</v>
      </c>
    </row>
    <row r="443" spans="1:5">
      <c r="A443" s="1" t="str">
        <f>"裂隙灯下眼底检查"</f>
        <v>裂隙灯下眼底检查</v>
      </c>
      <c r="B443" s="1">
        <v>13</v>
      </c>
      <c r="C443" s="1" t="str">
        <f t="shared" si="129"/>
        <v>次</v>
      </c>
      <c r="D443" s="1" t="str">
        <f>"次(双眼)"</f>
        <v>次(双眼)</v>
      </c>
      <c r="E443" s="1" t="str">
        <f t="shared" si="135"/>
        <v>检查费</v>
      </c>
    </row>
    <row r="444" spans="1:5">
      <c r="A444" s="1" t="str">
        <f>"裂隙灯下房角镜检查"</f>
        <v>裂隙灯下房角镜检查</v>
      </c>
      <c r="B444" s="1">
        <v>5.2</v>
      </c>
      <c r="C444" s="1" t="str">
        <f t="shared" si="129"/>
        <v>次</v>
      </c>
      <c r="D444" s="1" t="str">
        <f t="shared" ref="D444:D447" si="136">"次"</f>
        <v>次</v>
      </c>
      <c r="E444" s="1" t="str">
        <f>"治疗费"</f>
        <v>治疗费</v>
      </c>
    </row>
    <row r="445" spans="1:5">
      <c r="A445" s="1" t="str">
        <f>"眼底照相"</f>
        <v>眼底照相</v>
      </c>
      <c r="B445" s="1">
        <v>35</v>
      </c>
      <c r="C445" s="1" t="str">
        <f t="shared" si="129"/>
        <v>次</v>
      </c>
      <c r="D445" s="1" t="str">
        <f t="shared" si="136"/>
        <v>次</v>
      </c>
      <c r="E445" s="1" t="str">
        <f t="shared" ref="E445:E451" si="137">"检查费"</f>
        <v>检查费</v>
      </c>
    </row>
    <row r="446" spans="1:5">
      <c r="A446" s="1" t="str">
        <f>"裂隙灯下眼底视神经立体照相"</f>
        <v>裂隙灯下眼底视神经立体照相</v>
      </c>
      <c r="B446" s="1">
        <v>78</v>
      </c>
      <c r="C446" s="1" t="str">
        <f t="shared" si="129"/>
        <v>次</v>
      </c>
      <c r="D446" s="1" t="str">
        <f t="shared" si="136"/>
        <v>次</v>
      </c>
      <c r="E446" s="1" t="str">
        <f>"治疗费"</f>
        <v>治疗费</v>
      </c>
    </row>
    <row r="447" spans="1:5">
      <c r="A447" s="1" t="str">
        <f>"眼底检查"</f>
        <v>眼底检查</v>
      </c>
      <c r="B447" s="1">
        <v>6.5</v>
      </c>
      <c r="C447" s="1" t="str">
        <f t="shared" si="129"/>
        <v>次</v>
      </c>
      <c r="D447" s="1" t="str">
        <f t="shared" si="136"/>
        <v>次</v>
      </c>
      <c r="E447" s="1" t="str">
        <f t="shared" si="137"/>
        <v>检查费</v>
      </c>
    </row>
    <row r="448" spans="1:5">
      <c r="A448" s="1" t="str">
        <f>"眼底检查（直接眼底镜法）"</f>
        <v>眼底检查（直接眼底镜法）</v>
      </c>
      <c r="B448" s="1">
        <v>8</v>
      </c>
      <c r="C448" s="1" t="str">
        <f>"项"</f>
        <v>项</v>
      </c>
      <c r="D448" s="1" t="str">
        <f>"项"</f>
        <v>项</v>
      </c>
      <c r="E448" s="1" t="str">
        <f t="shared" si="137"/>
        <v>检查费</v>
      </c>
    </row>
    <row r="449" spans="1:5">
      <c r="A449" s="1" t="str">
        <f>"眼外肌功能检查"</f>
        <v>眼外肌功能检查</v>
      </c>
      <c r="B449" s="1">
        <v>6.5</v>
      </c>
      <c r="C449" s="1" t="str">
        <f t="shared" ref="C449:C454" si="138">"次"</f>
        <v>次</v>
      </c>
      <c r="D449" s="1" t="str">
        <f t="shared" ref="D449:D485" si="139">"次"</f>
        <v>次</v>
      </c>
      <c r="E449" s="1" t="str">
        <f t="shared" si="137"/>
        <v>检查费</v>
      </c>
    </row>
    <row r="450" spans="1:5">
      <c r="A450" s="1" t="str">
        <f>"角膜刮片检查"</f>
        <v>角膜刮片检查</v>
      </c>
      <c r="B450" s="1">
        <v>13</v>
      </c>
      <c r="C450" s="1" t="str">
        <f t="shared" si="138"/>
        <v>次</v>
      </c>
      <c r="D450" s="1" t="str">
        <f t="shared" si="139"/>
        <v>次</v>
      </c>
      <c r="E450" s="1" t="str">
        <f t="shared" si="137"/>
        <v>检查费</v>
      </c>
    </row>
    <row r="451" spans="1:5">
      <c r="A451" s="1" t="str">
        <f>"结膜囊取材检查"</f>
        <v>结膜囊取材检查</v>
      </c>
      <c r="B451" s="1">
        <v>13</v>
      </c>
      <c r="C451" s="1" t="str">
        <f t="shared" si="138"/>
        <v>次</v>
      </c>
      <c r="D451" s="1" t="str">
        <f t="shared" si="139"/>
        <v>次</v>
      </c>
      <c r="E451" s="1" t="str">
        <f t="shared" si="137"/>
        <v>检查费</v>
      </c>
    </row>
    <row r="452" spans="1:5">
      <c r="A452" s="1" t="str">
        <f>"电解倒睫"</f>
        <v>电解倒睫</v>
      </c>
      <c r="B452" s="1">
        <v>13</v>
      </c>
      <c r="C452" s="1" t="str">
        <f t="shared" si="138"/>
        <v>次</v>
      </c>
      <c r="D452" s="1" t="str">
        <f t="shared" si="139"/>
        <v>次</v>
      </c>
      <c r="E452" s="1" t="str">
        <f t="shared" ref="E452:E464" si="140">"治疗费"</f>
        <v>治疗费</v>
      </c>
    </row>
    <row r="453" spans="1:5">
      <c r="A453" s="1" t="str">
        <f>"拔倒睫"</f>
        <v>拔倒睫</v>
      </c>
      <c r="B453" s="1">
        <v>13</v>
      </c>
      <c r="C453" s="1" t="str">
        <f t="shared" si="138"/>
        <v>次</v>
      </c>
      <c r="D453" s="1" t="str">
        <f t="shared" si="139"/>
        <v>次</v>
      </c>
      <c r="E453" s="1" t="str">
        <f t="shared" si="140"/>
        <v>治疗费</v>
      </c>
    </row>
    <row r="454" spans="1:5">
      <c r="A454" s="1" t="str">
        <f>"睑板腺按摩"</f>
        <v>睑板腺按摩</v>
      </c>
      <c r="B454" s="1">
        <v>13</v>
      </c>
      <c r="C454" s="1" t="str">
        <f t="shared" si="138"/>
        <v>次</v>
      </c>
      <c r="D454" s="1" t="str">
        <f t="shared" si="139"/>
        <v>次</v>
      </c>
      <c r="E454" s="1" t="str">
        <f t="shared" si="140"/>
        <v>治疗费</v>
      </c>
    </row>
    <row r="455" spans="1:5">
      <c r="A455" s="1" t="str">
        <f>"冲洗结膜囊"</f>
        <v>冲洗结膜囊</v>
      </c>
      <c r="B455" s="1">
        <v>5</v>
      </c>
      <c r="C455" s="1" t="str">
        <f>"-"</f>
        <v>-</v>
      </c>
      <c r="D455" s="1" t="str">
        <f t="shared" si="139"/>
        <v>次</v>
      </c>
      <c r="E455" s="1" t="str">
        <f t="shared" si="140"/>
        <v>治疗费</v>
      </c>
    </row>
    <row r="456" spans="1:5">
      <c r="A456" s="1" t="str">
        <f>"睑结膜伪膜去除冲洗"</f>
        <v>睑结膜伪膜去除冲洗</v>
      </c>
      <c r="B456" s="1">
        <v>13</v>
      </c>
      <c r="C456" s="1" t="str">
        <f t="shared" ref="C456:C467" si="141">"次"</f>
        <v>次</v>
      </c>
      <c r="D456" s="1" t="str">
        <f t="shared" si="139"/>
        <v>次</v>
      </c>
      <c r="E456" s="1" t="str">
        <f t="shared" si="140"/>
        <v>治疗费</v>
      </c>
    </row>
    <row r="457" spans="1:5">
      <c r="A457" s="1" t="str">
        <f>"取结膜结石"</f>
        <v>取结膜结石</v>
      </c>
      <c r="B457" s="1">
        <v>13</v>
      </c>
      <c r="C457" s="1" t="str">
        <f t="shared" si="141"/>
        <v>次</v>
      </c>
      <c r="D457" s="1" t="str">
        <f t="shared" si="139"/>
        <v>次</v>
      </c>
      <c r="E457" s="1" t="str">
        <f t="shared" si="140"/>
        <v>治疗费</v>
      </c>
    </row>
    <row r="458" spans="1:5">
      <c r="A458" s="1" t="str">
        <f>"沙眼磨擦压挤术"</f>
        <v>沙眼磨擦压挤术</v>
      </c>
      <c r="B458" s="1">
        <v>13</v>
      </c>
      <c r="C458" s="1" t="str">
        <f t="shared" si="141"/>
        <v>次</v>
      </c>
      <c r="D458" s="1" t="str">
        <f t="shared" si="139"/>
        <v>次</v>
      </c>
      <c r="E458" s="1" t="str">
        <f t="shared" si="140"/>
        <v>治疗费</v>
      </c>
    </row>
    <row r="459" spans="1:5">
      <c r="A459" s="1" t="str">
        <f>"眼部脓肿切开引流术"</f>
        <v>眼部脓肿切开引流术</v>
      </c>
      <c r="B459" s="1">
        <v>65</v>
      </c>
      <c r="C459" s="1" t="str">
        <f t="shared" si="141"/>
        <v>次</v>
      </c>
      <c r="D459" s="1" t="str">
        <f t="shared" si="139"/>
        <v>次</v>
      </c>
      <c r="E459" s="1" t="str">
        <f t="shared" si="140"/>
        <v>治疗费</v>
      </c>
    </row>
    <row r="460" spans="1:5">
      <c r="A460" s="1" t="str">
        <f>"球结膜下注射"</f>
        <v>球结膜下注射</v>
      </c>
      <c r="B460" s="1">
        <v>6.5</v>
      </c>
      <c r="C460" s="1" t="str">
        <f t="shared" si="141"/>
        <v>次</v>
      </c>
      <c r="D460" s="1" t="str">
        <f t="shared" si="139"/>
        <v>次</v>
      </c>
      <c r="E460" s="1" t="str">
        <f t="shared" si="140"/>
        <v>治疗费</v>
      </c>
    </row>
    <row r="461" spans="1:5">
      <c r="A461" s="1" t="str">
        <f>"球后注射"</f>
        <v>球后注射</v>
      </c>
      <c r="B461" s="1">
        <v>13</v>
      </c>
      <c r="C461" s="1" t="str">
        <f t="shared" si="141"/>
        <v>次</v>
      </c>
      <c r="D461" s="1" t="str">
        <f t="shared" si="139"/>
        <v>次</v>
      </c>
      <c r="E461" s="1" t="str">
        <f t="shared" si="140"/>
        <v>治疗费</v>
      </c>
    </row>
    <row r="462" spans="1:5">
      <c r="A462" s="1" t="str">
        <f>"角膜异物剔除术"</f>
        <v>角膜异物剔除术</v>
      </c>
      <c r="B462" s="1">
        <v>30</v>
      </c>
      <c r="C462" s="1" t="str">
        <f t="shared" si="141"/>
        <v>次</v>
      </c>
      <c r="D462" s="1" t="str">
        <f t="shared" si="139"/>
        <v>次</v>
      </c>
      <c r="E462" s="1" t="str">
        <f t="shared" si="140"/>
        <v>治疗费</v>
      </c>
    </row>
    <row r="463" spans="1:5">
      <c r="A463" s="1" t="str">
        <f>"泪小点扩张"</f>
        <v>泪小点扩张</v>
      </c>
      <c r="B463" s="1">
        <v>13</v>
      </c>
      <c r="C463" s="1" t="str">
        <f t="shared" si="141"/>
        <v>次</v>
      </c>
      <c r="D463" s="1" t="str">
        <f t="shared" si="139"/>
        <v>次</v>
      </c>
      <c r="E463" s="1" t="str">
        <f t="shared" si="140"/>
        <v>治疗费</v>
      </c>
    </row>
    <row r="464" spans="1:5">
      <c r="A464" s="1" t="str">
        <f>"泪道探通术"</f>
        <v>泪道探通术</v>
      </c>
      <c r="B464" s="1">
        <v>13</v>
      </c>
      <c r="C464" s="1" t="str">
        <f t="shared" si="141"/>
        <v>次</v>
      </c>
      <c r="D464" s="1" t="str">
        <f t="shared" si="139"/>
        <v>次</v>
      </c>
      <c r="E464" s="1" t="str">
        <f t="shared" si="140"/>
        <v>治疗费</v>
      </c>
    </row>
    <row r="465" spans="1:5">
      <c r="A465" s="1" t="str">
        <f>"耳声发射检查"</f>
        <v>耳声发射检查</v>
      </c>
      <c r="B465" s="1">
        <v>130</v>
      </c>
      <c r="C465" s="1" t="str">
        <f t="shared" si="141"/>
        <v>次</v>
      </c>
      <c r="D465" s="1" t="str">
        <f t="shared" si="139"/>
        <v>次</v>
      </c>
      <c r="E465" s="1" t="str">
        <f>"检查费"</f>
        <v>检查费</v>
      </c>
    </row>
    <row r="466" spans="1:5">
      <c r="A466" s="1" t="str">
        <f>"听力筛选试验"</f>
        <v>听力筛选试验</v>
      </c>
      <c r="B466" s="1">
        <v>65</v>
      </c>
      <c r="C466" s="1" t="str">
        <f t="shared" si="141"/>
        <v>次</v>
      </c>
      <c r="D466" s="1" t="str">
        <f t="shared" si="139"/>
        <v>次</v>
      </c>
      <c r="E466" s="1" t="str">
        <f>"检查费"</f>
        <v>检查费</v>
      </c>
    </row>
    <row r="467" spans="1:5">
      <c r="A467" s="1" t="str">
        <f>"鼓膜穿刺术"</f>
        <v>鼓膜穿刺术</v>
      </c>
      <c r="B467" s="1">
        <v>39</v>
      </c>
      <c r="C467" s="1" t="str">
        <f t="shared" si="141"/>
        <v>次</v>
      </c>
      <c r="D467" s="1" t="str">
        <f t="shared" si="139"/>
        <v>次</v>
      </c>
      <c r="E467" s="1" t="str">
        <f t="shared" ref="E467:E471" si="142">"治疗费"</f>
        <v>治疗费</v>
      </c>
    </row>
    <row r="468" spans="1:5">
      <c r="A468" s="1" t="str">
        <f>"耵聍冲洗"</f>
        <v>耵聍冲洗</v>
      </c>
      <c r="B468" s="1">
        <v>3.9</v>
      </c>
      <c r="C468" s="1" t="str">
        <f>"-"</f>
        <v>-</v>
      </c>
      <c r="D468" s="1" t="str">
        <f t="shared" si="139"/>
        <v>次</v>
      </c>
      <c r="E468" s="1" t="str">
        <f t="shared" si="142"/>
        <v>治疗费</v>
      </c>
    </row>
    <row r="469" spans="1:5">
      <c r="A469" s="1" t="str">
        <f>"盯聍取出"</f>
        <v>盯聍取出</v>
      </c>
      <c r="B469" s="1">
        <v>13</v>
      </c>
      <c r="C469" s="1" t="str">
        <f t="shared" ref="C469:C485" si="143">"次"</f>
        <v>次</v>
      </c>
      <c r="D469" s="1" t="str">
        <f t="shared" si="139"/>
        <v>次</v>
      </c>
      <c r="E469" s="1" t="str">
        <f t="shared" si="142"/>
        <v>治疗费</v>
      </c>
    </row>
    <row r="470" spans="1:5">
      <c r="A470" s="1" t="str">
        <f>"耳廓假性囊肿穿刺压迫治疗"</f>
        <v>耳廓假性囊肿穿刺压迫治疗</v>
      </c>
      <c r="B470" s="1">
        <v>39</v>
      </c>
      <c r="C470" s="1" t="str">
        <f t="shared" si="143"/>
        <v>次</v>
      </c>
      <c r="D470" s="1" t="str">
        <f t="shared" si="139"/>
        <v>次</v>
      </c>
      <c r="E470" s="1" t="str">
        <f t="shared" si="142"/>
        <v>治疗费</v>
      </c>
    </row>
    <row r="471" spans="1:5">
      <c r="A471" s="1" t="str">
        <f>"耳部特殊治疗"</f>
        <v>耳部特殊治疗</v>
      </c>
      <c r="B471" s="1">
        <v>62</v>
      </c>
      <c r="C471" s="1" t="str">
        <f t="shared" si="143"/>
        <v>次</v>
      </c>
      <c r="D471" s="1" t="str">
        <f t="shared" si="139"/>
        <v>次</v>
      </c>
      <c r="E471" s="1" t="str">
        <f t="shared" si="142"/>
        <v>治疗费</v>
      </c>
    </row>
    <row r="472" spans="1:5">
      <c r="A472" s="1" t="str">
        <f>"前鼻镜检查"</f>
        <v>前鼻镜检查</v>
      </c>
      <c r="B472" s="1">
        <v>3.9</v>
      </c>
      <c r="C472" s="1" t="str">
        <f t="shared" si="143"/>
        <v>次</v>
      </c>
      <c r="D472" s="1" t="str">
        <f t="shared" si="139"/>
        <v>次</v>
      </c>
      <c r="E472" s="1" t="str">
        <f>"检查费"</f>
        <v>检查费</v>
      </c>
    </row>
    <row r="473" spans="1:5">
      <c r="A473" s="1" t="str">
        <f>"鼻腔冲洗"</f>
        <v>鼻腔冲洗</v>
      </c>
      <c r="B473" s="1">
        <v>20</v>
      </c>
      <c r="C473" s="1" t="str">
        <f t="shared" si="143"/>
        <v>次</v>
      </c>
      <c r="D473" s="1" t="str">
        <f t="shared" si="139"/>
        <v>次</v>
      </c>
      <c r="E473" s="1" t="str">
        <f t="shared" ref="E473:E482" si="144">"治疗费"</f>
        <v>治疗费</v>
      </c>
    </row>
    <row r="474" spans="1:5">
      <c r="A474" s="1" t="str">
        <f>"鼻腔取活检术"</f>
        <v>鼻腔取活检术</v>
      </c>
      <c r="B474" s="1">
        <v>39</v>
      </c>
      <c r="C474" s="1" t="str">
        <f t="shared" si="143"/>
        <v>次</v>
      </c>
      <c r="D474" s="1" t="str">
        <f t="shared" si="139"/>
        <v>次</v>
      </c>
      <c r="E474" s="1" t="str">
        <f t="shared" si="144"/>
        <v>治疗费</v>
      </c>
    </row>
    <row r="475" spans="1:5">
      <c r="A475" s="1" t="str">
        <f>"上颌窦穿刺术"</f>
        <v>上颌窦穿刺术</v>
      </c>
      <c r="B475" s="1">
        <v>39</v>
      </c>
      <c r="C475" s="1" t="str">
        <f t="shared" si="143"/>
        <v>次</v>
      </c>
      <c r="D475" s="1" t="str">
        <f t="shared" si="139"/>
        <v>次</v>
      </c>
      <c r="E475" s="1" t="str">
        <f t="shared" si="144"/>
        <v>治疗费</v>
      </c>
    </row>
    <row r="476" spans="1:5">
      <c r="A476" s="1" t="str">
        <f>"鼻咽部活检术"</f>
        <v>鼻咽部活检术</v>
      </c>
      <c r="B476" s="1">
        <v>98</v>
      </c>
      <c r="C476" s="1" t="str">
        <f t="shared" si="143"/>
        <v>次</v>
      </c>
      <c r="D476" s="1" t="str">
        <f t="shared" si="139"/>
        <v>次</v>
      </c>
      <c r="E476" s="1" t="str">
        <f t="shared" si="144"/>
        <v>治疗费</v>
      </c>
    </row>
    <row r="477" spans="1:5">
      <c r="A477" s="1" t="str">
        <f>"下鼻甲封闭术"</f>
        <v>下鼻甲封闭术</v>
      </c>
      <c r="B477" s="1">
        <v>26</v>
      </c>
      <c r="C477" s="1" t="str">
        <f t="shared" si="143"/>
        <v>次</v>
      </c>
      <c r="D477" s="1" t="str">
        <f t="shared" si="139"/>
        <v>次</v>
      </c>
      <c r="E477" s="1" t="str">
        <f t="shared" si="144"/>
        <v>治疗费</v>
      </c>
    </row>
    <row r="478" spans="1:5">
      <c r="A478" s="1" t="str">
        <f>"前鼻孔填塞"</f>
        <v>前鼻孔填塞</v>
      </c>
      <c r="B478" s="1">
        <v>33</v>
      </c>
      <c r="C478" s="1" t="str">
        <f t="shared" si="143"/>
        <v>次</v>
      </c>
      <c r="D478" s="1" t="str">
        <f t="shared" si="139"/>
        <v>次</v>
      </c>
      <c r="E478" s="1" t="str">
        <f t="shared" si="144"/>
        <v>治疗费</v>
      </c>
    </row>
    <row r="479" spans="1:5">
      <c r="A479" s="1" t="str">
        <f>"后鼻孔填塞"</f>
        <v>后鼻孔填塞</v>
      </c>
      <c r="B479" s="1">
        <v>39</v>
      </c>
      <c r="C479" s="1" t="str">
        <f t="shared" si="143"/>
        <v>次</v>
      </c>
      <c r="D479" s="1" t="str">
        <f t="shared" si="139"/>
        <v>次</v>
      </c>
      <c r="E479" s="1" t="str">
        <f t="shared" si="144"/>
        <v>治疗费</v>
      </c>
    </row>
    <row r="480" spans="1:5">
      <c r="A480" s="1" t="str">
        <f>"鼻异物取出"</f>
        <v>鼻异物取出</v>
      </c>
      <c r="B480" s="1">
        <v>20</v>
      </c>
      <c r="C480" s="1" t="str">
        <f t="shared" si="143"/>
        <v>次</v>
      </c>
      <c r="D480" s="1" t="str">
        <f t="shared" si="139"/>
        <v>次</v>
      </c>
      <c r="E480" s="1" t="str">
        <f t="shared" si="144"/>
        <v>治疗费</v>
      </c>
    </row>
    <row r="481" spans="1:5">
      <c r="A481" s="1" t="str">
        <f>"鼻部特殊治疗"</f>
        <v>鼻部特殊治疗</v>
      </c>
      <c r="B481" s="1">
        <v>33</v>
      </c>
      <c r="C481" s="1" t="str">
        <f t="shared" si="143"/>
        <v>次</v>
      </c>
      <c r="D481" s="1" t="str">
        <f t="shared" si="139"/>
        <v>次</v>
      </c>
      <c r="E481" s="1" t="str">
        <f t="shared" si="144"/>
        <v>治疗费</v>
      </c>
    </row>
    <row r="482" spans="1:5">
      <c r="A482" s="1" t="str">
        <f>"鼻出血黏膜药物烧灼"</f>
        <v>鼻出血黏膜药物烧灼</v>
      </c>
      <c r="B482" s="1">
        <v>13</v>
      </c>
      <c r="C482" s="1" t="str">
        <f t="shared" si="143"/>
        <v>次</v>
      </c>
      <c r="D482" s="1" t="str">
        <f t="shared" si="139"/>
        <v>次</v>
      </c>
      <c r="E482" s="1" t="str">
        <f t="shared" si="144"/>
        <v>治疗费</v>
      </c>
    </row>
    <row r="483" spans="1:5">
      <c r="A483" s="1" t="str">
        <f>"间接鼻咽镜检查"</f>
        <v>间接鼻咽镜检查</v>
      </c>
      <c r="B483" s="1">
        <v>20</v>
      </c>
      <c r="C483" s="1" t="str">
        <f t="shared" si="143"/>
        <v>次</v>
      </c>
      <c r="D483" s="1" t="str">
        <f t="shared" si="139"/>
        <v>次</v>
      </c>
      <c r="E483" s="1" t="str">
        <f>"检查费"</f>
        <v>检查费</v>
      </c>
    </row>
    <row r="484" spans="1:5">
      <c r="A484" s="1" t="str">
        <f>"间接喉镜检查"</f>
        <v>间接喉镜检查</v>
      </c>
      <c r="B484" s="1">
        <v>7.8</v>
      </c>
      <c r="C484" s="1" t="str">
        <f t="shared" si="143"/>
        <v>次</v>
      </c>
      <c r="D484" s="1" t="str">
        <f t="shared" si="139"/>
        <v>次</v>
      </c>
      <c r="E484" s="1" t="str">
        <f>"检查费"</f>
        <v>检查费</v>
      </c>
    </row>
    <row r="485" spans="1:5">
      <c r="A485" s="1" t="str">
        <f>"咽部特殊治疗"</f>
        <v>咽部特殊治疗</v>
      </c>
      <c r="B485" s="1">
        <v>33</v>
      </c>
      <c r="C485" s="1" t="str">
        <f t="shared" si="143"/>
        <v>次</v>
      </c>
      <c r="D485" s="1" t="str">
        <f t="shared" si="139"/>
        <v>次</v>
      </c>
      <c r="E485" s="1" t="str">
        <f>"治疗费"</f>
        <v>治疗费</v>
      </c>
    </row>
    <row r="486" spans="1:5">
      <c r="A486" s="1" t="str">
        <f>"咽部特殊治疗(口咽异物取出术)"</f>
        <v>咽部特殊治疗(口咽异物取出术)</v>
      </c>
      <c r="B486" s="1">
        <v>13</v>
      </c>
      <c r="C486" s="1" t="str">
        <f>"次"</f>
        <v>次</v>
      </c>
      <c r="D486" s="1" t="str">
        <f>"次"</f>
        <v>次</v>
      </c>
      <c r="E486" s="1" t="str">
        <f>"治疗费"</f>
        <v>治疗费</v>
      </c>
    </row>
    <row r="487" spans="1:5">
      <c r="A487" s="1" t="str">
        <f>"全口牙病系统检查与治疗设计"</f>
        <v>全口牙病系统检查与治疗设计</v>
      </c>
      <c r="B487" s="1">
        <v>12</v>
      </c>
      <c r="C487" s="1" t="str">
        <f>"-"</f>
        <v>-</v>
      </c>
      <c r="D487" s="1" t="str">
        <f>"次"</f>
        <v>次</v>
      </c>
      <c r="E487" s="1" t="str">
        <f t="shared" ref="E487:E493" si="145">"检查费"</f>
        <v>检查费</v>
      </c>
    </row>
    <row r="488" spans="1:5">
      <c r="A488" s="1" t="str">
        <f>"咬合检查"</f>
        <v>咬合检查</v>
      </c>
      <c r="B488" s="1">
        <v>2.4</v>
      </c>
      <c r="C488" s="1" t="str">
        <f>"次"</f>
        <v>次</v>
      </c>
      <c r="D488" s="1" t="str">
        <f>"次"</f>
        <v>次</v>
      </c>
      <c r="E488" s="1" t="str">
        <f t="shared" si="145"/>
        <v>检查费</v>
      </c>
    </row>
    <row r="489" spans="1:5">
      <c r="A489" s="1" t="str">
        <f>"口腔模型制备"</f>
        <v>口腔模型制备</v>
      </c>
      <c r="B489" s="1">
        <v>24</v>
      </c>
      <c r="C489" s="1" t="str">
        <f>"单颌"</f>
        <v>单颌</v>
      </c>
      <c r="D489" s="1" t="str">
        <f>"单颌"</f>
        <v>单颌</v>
      </c>
      <c r="E489" s="1" t="str">
        <f>"治疗费"</f>
        <v>治疗费</v>
      </c>
    </row>
    <row r="490" spans="1:5">
      <c r="A490" s="1" t="str">
        <f>"记存模型制备"</f>
        <v>记存模型制备</v>
      </c>
      <c r="B490" s="1">
        <v>3.6</v>
      </c>
      <c r="C490" s="1" t="str">
        <f>"单颌"</f>
        <v>单颌</v>
      </c>
      <c r="D490" s="1" t="str">
        <f>"单颌"</f>
        <v>单颌</v>
      </c>
      <c r="E490" s="1" t="str">
        <f>"治疗费"</f>
        <v>治疗费</v>
      </c>
    </row>
    <row r="491" spans="1:5">
      <c r="A491" s="1" t="str">
        <f>"面部模型制备"</f>
        <v>面部模型制备</v>
      </c>
      <c r="B491" s="1">
        <v>12</v>
      </c>
      <c r="C491" s="1" t="str">
        <f t="shared" ref="C491:C496" si="146">"次"</f>
        <v>次</v>
      </c>
      <c r="D491" s="1" t="str">
        <f t="shared" ref="D491:D496" si="147">"次"</f>
        <v>次</v>
      </c>
      <c r="E491" s="1" t="str">
        <f>"治疗费"</f>
        <v>治疗费</v>
      </c>
    </row>
    <row r="492" spans="1:5">
      <c r="A492" s="1" t="str">
        <f>"牙髓活力检查"</f>
        <v>牙髓活力检查</v>
      </c>
      <c r="B492" s="1">
        <v>2.4</v>
      </c>
      <c r="C492" s="1" t="str">
        <f t="shared" ref="C492:C498" si="148">"每牙"</f>
        <v>每牙</v>
      </c>
      <c r="D492" s="1" t="str">
        <f t="shared" ref="D492:D498" si="149">"每牙"</f>
        <v>每牙</v>
      </c>
      <c r="E492" s="1" t="str">
        <f t="shared" si="145"/>
        <v>检查费</v>
      </c>
    </row>
    <row r="493" spans="1:5">
      <c r="A493" s="1" t="str">
        <f>"根管长度测量"</f>
        <v>根管长度测量</v>
      </c>
      <c r="B493" s="1">
        <v>4.8</v>
      </c>
      <c r="C493" s="1" t="str">
        <f>"每根管"</f>
        <v>每根管</v>
      </c>
      <c r="D493" s="1" t="str">
        <f>"每根管"</f>
        <v>每根管</v>
      </c>
      <c r="E493" s="1" t="str">
        <f t="shared" si="145"/>
        <v>检查费</v>
      </c>
    </row>
    <row r="494" spans="1:5">
      <c r="A494" s="1" t="str">
        <f>"口腔X线一次成像(RVG)"</f>
        <v>口腔X线一次成像(RVG)</v>
      </c>
      <c r="B494" s="1">
        <v>36</v>
      </c>
      <c r="C494" s="1" t="str">
        <f t="shared" si="148"/>
        <v>每牙</v>
      </c>
      <c r="D494" s="1" t="str">
        <f t="shared" si="149"/>
        <v>每牙</v>
      </c>
      <c r="E494" s="1" t="str">
        <f>"放射费"</f>
        <v>放射费</v>
      </c>
    </row>
    <row r="495" spans="1:5">
      <c r="A495" s="1" t="str">
        <f>"咬合动度测定"</f>
        <v>咬合动度测定</v>
      </c>
      <c r="B495" s="1">
        <v>2.4</v>
      </c>
      <c r="C495" s="1" t="str">
        <f t="shared" si="146"/>
        <v>次</v>
      </c>
      <c r="D495" s="1" t="str">
        <f t="shared" si="147"/>
        <v>次</v>
      </c>
      <c r="E495" s="1" t="str">
        <f>"检查费"</f>
        <v>检查费</v>
      </c>
    </row>
    <row r="496" spans="1:5">
      <c r="A496" s="1" t="str">
        <f>"测色仪检查"</f>
        <v>测色仪检查</v>
      </c>
      <c r="B496" s="1">
        <v>4.8</v>
      </c>
      <c r="C496" s="1" t="str">
        <f t="shared" si="146"/>
        <v>次</v>
      </c>
      <c r="D496" s="1" t="str">
        <f t="shared" si="147"/>
        <v>次</v>
      </c>
      <c r="E496" s="1" t="str">
        <f>"检查费"</f>
        <v>检查费</v>
      </c>
    </row>
    <row r="497" spans="1:5">
      <c r="A497" s="1" t="str">
        <f>"调合"</f>
        <v>调合</v>
      </c>
      <c r="B497" s="1">
        <v>3.6</v>
      </c>
      <c r="C497" s="1" t="str">
        <f t="shared" si="148"/>
        <v>每牙</v>
      </c>
      <c r="D497" s="1" t="str">
        <f t="shared" si="149"/>
        <v>每牙</v>
      </c>
      <c r="E497" s="1" t="str">
        <f t="shared" ref="E497:E503" si="150">"治疗费"</f>
        <v>治疗费</v>
      </c>
    </row>
    <row r="498" spans="1:5">
      <c r="A498" s="1" t="str">
        <f>"氟防龋治疗"</f>
        <v>氟防龋治疗</v>
      </c>
      <c r="B498" s="1">
        <v>1.2</v>
      </c>
      <c r="C498" s="1" t="str">
        <f t="shared" si="148"/>
        <v>每牙</v>
      </c>
      <c r="D498" s="1" t="str">
        <f t="shared" si="149"/>
        <v>每牙</v>
      </c>
      <c r="E498" s="1" t="str">
        <f t="shared" si="150"/>
        <v>治疗费</v>
      </c>
    </row>
    <row r="499" spans="1:5">
      <c r="A499" s="1" t="str">
        <f>"牙脱敏治疗"</f>
        <v>牙脱敏治疗</v>
      </c>
      <c r="B499" s="1">
        <v>3.6</v>
      </c>
      <c r="C499" s="1" t="str">
        <f>"-"</f>
        <v>-</v>
      </c>
      <c r="D499" s="1" t="str">
        <f t="shared" ref="D499:D503" si="151">"每牙"</f>
        <v>每牙</v>
      </c>
      <c r="E499" s="1" t="str">
        <f t="shared" si="150"/>
        <v>治疗费</v>
      </c>
    </row>
    <row r="500" spans="1:5">
      <c r="A500" s="1" t="str">
        <f>"牙脱敏治疗(使用激光脱敏仪)"</f>
        <v>牙脱敏治疗(使用激光脱敏仪)</v>
      </c>
      <c r="B500" s="1">
        <v>6</v>
      </c>
      <c r="C500" s="1" t="str">
        <f>"-"</f>
        <v>-</v>
      </c>
      <c r="D500" s="1" t="str">
        <f t="shared" si="151"/>
        <v>每牙</v>
      </c>
      <c r="E500" s="1" t="str">
        <f t="shared" si="150"/>
        <v>治疗费</v>
      </c>
    </row>
    <row r="501" spans="1:5">
      <c r="A501" s="1" t="str">
        <f>"不良修复体拆除"</f>
        <v>不良修复体拆除</v>
      </c>
      <c r="B501" s="1">
        <v>5.5</v>
      </c>
      <c r="C501" s="1" t="str">
        <f t="shared" ref="C501:C503" si="152">"每牙"</f>
        <v>每牙</v>
      </c>
      <c r="D501" s="1" t="str">
        <f t="shared" si="151"/>
        <v>每牙</v>
      </c>
      <c r="E501" s="1" t="str">
        <f t="shared" si="150"/>
        <v>治疗费</v>
      </c>
    </row>
    <row r="502" spans="1:5">
      <c r="A502" s="1" t="str">
        <f>"牙开窗助萌术"</f>
        <v>牙开窗助萌术</v>
      </c>
      <c r="B502" s="1">
        <v>36</v>
      </c>
      <c r="C502" s="1" t="str">
        <f t="shared" si="152"/>
        <v>每牙</v>
      </c>
      <c r="D502" s="1" t="str">
        <f t="shared" si="151"/>
        <v>每牙</v>
      </c>
      <c r="E502" s="1" t="str">
        <f t="shared" si="150"/>
        <v>治疗费</v>
      </c>
    </row>
    <row r="503" spans="1:5">
      <c r="A503" s="1" t="str">
        <f>"口腔局部止血"</f>
        <v>口腔局部止血</v>
      </c>
      <c r="B503" s="1">
        <v>12</v>
      </c>
      <c r="C503" s="1" t="str">
        <f t="shared" si="152"/>
        <v>每牙</v>
      </c>
      <c r="D503" s="1" t="str">
        <f t="shared" si="151"/>
        <v>每牙</v>
      </c>
      <c r="E503" s="1" t="str">
        <f t="shared" si="150"/>
        <v>治疗费</v>
      </c>
    </row>
    <row r="504" spans="1:5">
      <c r="A504" s="1" t="str">
        <f>"激光口内治疗"</f>
        <v>激光口内治疗</v>
      </c>
      <c r="B504" s="1">
        <v>18</v>
      </c>
      <c r="C504" s="1" t="str">
        <f>"每部位"</f>
        <v>每部位</v>
      </c>
      <c r="D504" s="1" t="str">
        <f>"每部位"</f>
        <v>每部位</v>
      </c>
      <c r="E504" s="1" t="str">
        <f t="shared" ref="E504:E507" si="153">"治疗费"</f>
        <v>治疗费</v>
      </c>
    </row>
    <row r="505" spans="1:5">
      <c r="A505" s="1" t="str">
        <f>"口内脓肿切开引流术"</f>
        <v>口内脓肿切开引流术</v>
      </c>
      <c r="B505" s="1">
        <v>11</v>
      </c>
      <c r="C505" s="1" t="str">
        <f>"例"</f>
        <v>例</v>
      </c>
      <c r="D505" s="1" t="str">
        <f>"例"</f>
        <v>例</v>
      </c>
      <c r="E505" s="1" t="str">
        <f t="shared" si="153"/>
        <v>治疗费</v>
      </c>
    </row>
    <row r="506" spans="1:5">
      <c r="A506" s="1" t="str">
        <f>"牙外伤结扎固定术"</f>
        <v>牙外伤结扎固定术</v>
      </c>
      <c r="B506" s="1">
        <v>40</v>
      </c>
      <c r="C506" s="1" t="str">
        <f>"-"</f>
        <v>-</v>
      </c>
      <c r="D506" s="1" t="str">
        <f t="shared" ref="D506:D513" si="154">"每牙"</f>
        <v>每牙</v>
      </c>
      <c r="E506" s="1" t="str">
        <f t="shared" si="153"/>
        <v>治疗费</v>
      </c>
    </row>
    <row r="507" spans="1:5">
      <c r="A507" s="1" t="str">
        <f>"拆除固定装置"</f>
        <v>拆除固定装置</v>
      </c>
      <c r="B507" s="1">
        <v>3.6</v>
      </c>
      <c r="C507" s="1" t="str">
        <f>"-"</f>
        <v>-</v>
      </c>
      <c r="D507" s="1" t="str">
        <f t="shared" si="154"/>
        <v>每牙</v>
      </c>
      <c r="E507" s="1" t="str">
        <f t="shared" si="153"/>
        <v>治疗费</v>
      </c>
    </row>
    <row r="508" spans="1:5">
      <c r="A508" s="1" t="str">
        <f>"简单充填术"</f>
        <v>简单充填术</v>
      </c>
      <c r="B508" s="1">
        <v>14</v>
      </c>
      <c r="C508" s="1" t="str">
        <f>"每牙"</f>
        <v>每牙</v>
      </c>
      <c r="D508" s="1" t="str">
        <f t="shared" si="154"/>
        <v>每牙</v>
      </c>
      <c r="E508" s="1" t="str">
        <f t="shared" ref="E508:E515" si="155">"治疗费"</f>
        <v>治疗费</v>
      </c>
    </row>
    <row r="509" spans="1:5">
      <c r="A509" s="1" t="str">
        <f>"复杂充填术"</f>
        <v>复杂充填术</v>
      </c>
      <c r="B509" s="1">
        <v>18</v>
      </c>
      <c r="C509" s="1" t="str">
        <f>"每牙"</f>
        <v>每牙</v>
      </c>
      <c r="D509" s="1" t="str">
        <f t="shared" si="154"/>
        <v>每牙</v>
      </c>
      <c r="E509" s="1" t="str">
        <f t="shared" si="155"/>
        <v>治疗费</v>
      </c>
    </row>
    <row r="510" spans="1:5">
      <c r="A510" s="1" t="str">
        <f>"牙体桩钉固位修复术"</f>
        <v>牙体桩钉固位修复术</v>
      </c>
      <c r="B510" s="1">
        <v>22</v>
      </c>
      <c r="C510" s="1" t="str">
        <f>"-"</f>
        <v>-</v>
      </c>
      <c r="D510" s="1" t="str">
        <f t="shared" si="154"/>
        <v>每牙</v>
      </c>
      <c r="E510" s="1" t="str">
        <f t="shared" si="155"/>
        <v>治疗费</v>
      </c>
    </row>
    <row r="511" spans="1:5">
      <c r="A511" s="1" t="str">
        <f>"牙体缺损粘接修复术"</f>
        <v>牙体缺损粘接修复术</v>
      </c>
      <c r="B511" s="1">
        <v>24</v>
      </c>
      <c r="C511" s="1" t="str">
        <f>"每牙"</f>
        <v>每牙</v>
      </c>
      <c r="D511" s="1" t="str">
        <f t="shared" si="154"/>
        <v>每牙</v>
      </c>
      <c r="E511" s="1" t="str">
        <f t="shared" si="155"/>
        <v>治疗费</v>
      </c>
    </row>
    <row r="512" spans="1:5">
      <c r="A512" s="1" t="str">
        <f>"充填体抛光术"</f>
        <v>充填体抛光术</v>
      </c>
      <c r="B512" s="1" t="str">
        <f>"0.6"</f>
        <v>0.6</v>
      </c>
      <c r="C512" s="1" t="str">
        <f>"-"</f>
        <v>-</v>
      </c>
      <c r="D512" s="1" t="str">
        <f t="shared" si="154"/>
        <v>每牙</v>
      </c>
      <c r="E512" s="1" t="str">
        <f t="shared" si="155"/>
        <v>治疗费</v>
      </c>
    </row>
    <row r="513" spans="1:5">
      <c r="A513" s="1" t="str">
        <f>"树脂嵌体修复术"</f>
        <v>树脂嵌体修复术</v>
      </c>
      <c r="B513" s="1">
        <v>24</v>
      </c>
      <c r="C513" s="1" t="str">
        <f>"-"</f>
        <v>-</v>
      </c>
      <c r="D513" s="1" t="str">
        <f t="shared" si="154"/>
        <v>每牙</v>
      </c>
      <c r="E513" s="1" t="str">
        <f t="shared" si="155"/>
        <v>治疗费</v>
      </c>
    </row>
    <row r="514" spans="1:5">
      <c r="A514" s="1" t="str">
        <f>"橡皮障隔湿法"</f>
        <v>橡皮障隔湿法</v>
      </c>
      <c r="B514" s="1">
        <v>6</v>
      </c>
      <c r="C514" s="1" t="str">
        <f>"次"</f>
        <v>次</v>
      </c>
      <c r="D514" s="1" t="str">
        <f>"次"</f>
        <v>次</v>
      </c>
      <c r="E514" s="1" t="str">
        <f t="shared" si="155"/>
        <v>治疗费</v>
      </c>
    </row>
    <row r="515" spans="1:5">
      <c r="A515" s="1" t="str">
        <f>"盖髓术"</f>
        <v>盖髓术</v>
      </c>
      <c r="B515" s="1">
        <v>5.4</v>
      </c>
      <c r="C515" s="1" t="str">
        <f t="shared" ref="C515:D518" si="156">"每牙"</f>
        <v>每牙</v>
      </c>
      <c r="D515" s="1" t="str">
        <f t="shared" si="156"/>
        <v>每牙</v>
      </c>
      <c r="E515" s="1" t="str">
        <f t="shared" si="155"/>
        <v>治疗费</v>
      </c>
    </row>
    <row r="516" spans="1:5">
      <c r="A516" s="1" t="str">
        <f>"牙髓失活术"</f>
        <v>牙髓失活术</v>
      </c>
      <c r="B516" s="1">
        <v>24</v>
      </c>
      <c r="C516" s="1" t="str">
        <f t="shared" si="156"/>
        <v>每牙</v>
      </c>
      <c r="D516" s="1" t="str">
        <f t="shared" si="156"/>
        <v>每牙</v>
      </c>
      <c r="E516" s="1" t="str">
        <f t="shared" ref="E516:E520" si="157">"治疗费"</f>
        <v>治疗费</v>
      </c>
    </row>
    <row r="517" spans="1:5">
      <c r="A517" s="1" t="str">
        <f>"开髓引流术"</f>
        <v>开髓引流术</v>
      </c>
      <c r="B517" s="1">
        <v>24</v>
      </c>
      <c r="C517" s="1" t="str">
        <f t="shared" si="156"/>
        <v>每牙</v>
      </c>
      <c r="D517" s="1" t="str">
        <f t="shared" si="156"/>
        <v>每牙</v>
      </c>
      <c r="E517" s="1" t="str">
        <f t="shared" si="157"/>
        <v>治疗费</v>
      </c>
    </row>
    <row r="518" spans="1:5">
      <c r="A518" s="1" t="str">
        <f>"干髓术"</f>
        <v>干髓术</v>
      </c>
      <c r="B518" s="1">
        <v>12</v>
      </c>
      <c r="C518" s="1" t="str">
        <f t="shared" si="156"/>
        <v>每牙</v>
      </c>
      <c r="D518" s="1" t="str">
        <f t="shared" si="156"/>
        <v>每牙</v>
      </c>
      <c r="E518" s="1" t="str">
        <f t="shared" si="157"/>
        <v>治疗费</v>
      </c>
    </row>
    <row r="519" spans="1:5">
      <c r="A519" s="1" t="str">
        <f>"牙髓摘除术"</f>
        <v>牙髓摘除术</v>
      </c>
      <c r="B519" s="1">
        <v>12</v>
      </c>
      <c r="C519" s="1" t="str">
        <f t="shared" ref="C519:D522" si="158">"每根管"</f>
        <v>每根管</v>
      </c>
      <c r="D519" s="1" t="str">
        <f t="shared" si="158"/>
        <v>每根管</v>
      </c>
      <c r="E519" s="1" t="str">
        <f t="shared" si="157"/>
        <v>治疗费</v>
      </c>
    </row>
    <row r="520" spans="1:5">
      <c r="A520" s="1" t="str">
        <f>"根管预备"</f>
        <v>根管预备</v>
      </c>
      <c r="B520" s="1">
        <v>30</v>
      </c>
      <c r="C520" s="1" t="str">
        <f t="shared" si="158"/>
        <v>每根管</v>
      </c>
      <c r="D520" s="1" t="str">
        <f t="shared" si="158"/>
        <v>每根管</v>
      </c>
      <c r="E520" s="1" t="str">
        <f t="shared" si="157"/>
        <v>治疗费</v>
      </c>
    </row>
    <row r="521" spans="1:5">
      <c r="A521" s="1" t="str">
        <f>"根管充填术（使用特殊仪器）"</f>
        <v>根管充填术（使用特殊仪器）</v>
      </c>
      <c r="B521" s="1">
        <v>42</v>
      </c>
      <c r="C521" s="1" t="str">
        <f t="shared" si="158"/>
        <v>每根管</v>
      </c>
      <c r="D521" s="1" t="str">
        <f t="shared" si="158"/>
        <v>每根管</v>
      </c>
      <c r="E521" s="1" t="str">
        <f t="shared" ref="E521:E524" si="159">"治疗费"</f>
        <v>治疗费</v>
      </c>
    </row>
    <row r="522" spans="1:5">
      <c r="A522" s="1" t="str">
        <f>"髓腔消毒术（使用特殊仪器(微波仪等)）"</f>
        <v>髓腔消毒术（使用特殊仪器(微波仪等)）</v>
      </c>
      <c r="B522" s="1">
        <v>18</v>
      </c>
      <c r="C522" s="1" t="str">
        <f t="shared" si="158"/>
        <v>每根管</v>
      </c>
      <c r="D522" s="1" t="str">
        <f t="shared" si="158"/>
        <v>每根管</v>
      </c>
      <c r="E522" s="1" t="str">
        <f t="shared" si="159"/>
        <v>治疗费</v>
      </c>
    </row>
    <row r="523" spans="1:5">
      <c r="A523" s="1" t="str">
        <f>"牙髓塑化治疗术"</f>
        <v>牙髓塑化治疗术</v>
      </c>
      <c r="B523" s="1">
        <v>36</v>
      </c>
      <c r="C523" s="1" t="str">
        <f>"-"</f>
        <v>-</v>
      </c>
      <c r="D523" s="1" t="str">
        <f>"每根管"</f>
        <v>每根管</v>
      </c>
      <c r="E523" s="1" t="str">
        <f t="shared" si="159"/>
        <v>治疗费</v>
      </c>
    </row>
    <row r="524" spans="1:5">
      <c r="A524" s="1" t="str">
        <f>"根管再治疗术"</f>
        <v>根管再治疗术</v>
      </c>
      <c r="B524" s="1">
        <v>40</v>
      </c>
      <c r="C524" s="1" t="str">
        <f>"每根管"</f>
        <v>每根管</v>
      </c>
      <c r="D524" s="1" t="str">
        <f>"每根管"</f>
        <v>每根管</v>
      </c>
      <c r="E524" s="1" t="str">
        <f t="shared" si="159"/>
        <v>治疗费</v>
      </c>
    </row>
    <row r="525" spans="1:5">
      <c r="A525" s="1" t="str">
        <f>"牙槽骨烧伤清创术"</f>
        <v>牙槽骨烧伤清创术</v>
      </c>
      <c r="B525" s="1">
        <v>24</v>
      </c>
      <c r="C525" s="1" t="str">
        <f>"-"</f>
        <v>-</v>
      </c>
      <c r="D525" s="1" t="str">
        <f>"次"</f>
        <v>次</v>
      </c>
      <c r="E525" s="1" t="str">
        <f>"手术费"</f>
        <v>手术费</v>
      </c>
    </row>
    <row r="526" spans="1:5">
      <c r="A526" s="1" t="str">
        <f>"根管内固定术"</f>
        <v>根管内固定术</v>
      </c>
      <c r="B526" s="1">
        <v>36</v>
      </c>
      <c r="C526" s="1" t="str">
        <f>"-"</f>
        <v>-</v>
      </c>
      <c r="D526" s="1" t="str">
        <f>"每根管"</f>
        <v>每根管</v>
      </c>
      <c r="E526" s="1" t="str">
        <f t="shared" ref="E526:E529" si="160">"治疗费"</f>
        <v>治疗费</v>
      </c>
    </row>
    <row r="527" spans="1:5">
      <c r="A527" s="1" t="str">
        <f>"劈裂牙治疗"</f>
        <v>劈裂牙治疗</v>
      </c>
      <c r="B527" s="1">
        <v>24</v>
      </c>
      <c r="C527" s="1" t="str">
        <f>"每牙"</f>
        <v>每牙</v>
      </c>
      <c r="D527" s="1" t="str">
        <f>"每牙"</f>
        <v>每牙</v>
      </c>
      <c r="E527" s="1" t="str">
        <f t="shared" si="160"/>
        <v>治疗费</v>
      </c>
    </row>
    <row r="528" spans="1:5">
      <c r="A528" s="1" t="str">
        <f>"后牙纵折固定术"</f>
        <v>后牙纵折固定术</v>
      </c>
      <c r="B528" s="1">
        <v>7.2</v>
      </c>
      <c r="C528" s="1" t="str">
        <f>"-"</f>
        <v>-</v>
      </c>
      <c r="D528" s="1" t="str">
        <f>"每牙"</f>
        <v>每牙</v>
      </c>
      <c r="E528" s="1" t="str">
        <f t="shared" si="160"/>
        <v>治疗费</v>
      </c>
    </row>
    <row r="529" spans="1:5">
      <c r="A529" s="1" t="str">
        <f>"根尖诱导成形术"</f>
        <v>根尖诱导成形术</v>
      </c>
      <c r="B529" s="1">
        <v>48</v>
      </c>
      <c r="C529" s="1" t="str">
        <f>"-"</f>
        <v>-</v>
      </c>
      <c r="D529" s="1" t="str">
        <f>"每根管"</f>
        <v>每根管</v>
      </c>
      <c r="E529" s="1" t="str">
        <f t="shared" si="160"/>
        <v>治疗费</v>
      </c>
    </row>
    <row r="530" spans="1:5">
      <c r="A530" s="1" t="str">
        <f>"窝沟封闭"</f>
        <v>窝沟封闭</v>
      </c>
      <c r="B530" s="1">
        <v>24</v>
      </c>
      <c r="C530" s="1" t="str">
        <f t="shared" ref="C530:C534" si="161">"每牙"</f>
        <v>每牙</v>
      </c>
      <c r="D530" s="1" t="str">
        <f>"每牙"</f>
        <v>每牙</v>
      </c>
      <c r="E530" s="1" t="str">
        <f t="shared" ref="E530:E538" si="162">"治疗费"</f>
        <v>治疗费</v>
      </c>
    </row>
    <row r="531" spans="1:5">
      <c r="A531" s="1" t="str">
        <f>"钙化桥打通术"</f>
        <v>钙化桥打通术</v>
      </c>
      <c r="B531" s="1">
        <v>24</v>
      </c>
      <c r="C531" s="1" t="str">
        <f>"每根管"</f>
        <v>每根管</v>
      </c>
      <c r="D531" s="1" t="str">
        <f>"每根管"</f>
        <v>每根管</v>
      </c>
      <c r="E531" s="1" t="str">
        <f t="shared" si="162"/>
        <v>治疗费</v>
      </c>
    </row>
    <row r="532" spans="1:5">
      <c r="A532" s="1" t="str">
        <f>"活髓切断术"</f>
        <v>活髓切断术</v>
      </c>
      <c r="B532" s="1">
        <v>13</v>
      </c>
      <c r="C532" s="1" t="str">
        <f>"-"</f>
        <v>-</v>
      </c>
      <c r="D532" s="1" t="str">
        <f t="shared" ref="D532:D541" si="163">"每牙"</f>
        <v>每牙</v>
      </c>
      <c r="E532" s="1" t="str">
        <f t="shared" si="162"/>
        <v>治疗费</v>
      </c>
    </row>
    <row r="533" spans="1:5">
      <c r="A533" s="1" t="str">
        <f>"洁治"</f>
        <v>洁治</v>
      </c>
      <c r="B533" s="1">
        <v>2.7</v>
      </c>
      <c r="C533" s="1" t="str">
        <f t="shared" si="161"/>
        <v>每牙</v>
      </c>
      <c r="D533" s="1" t="str">
        <f t="shared" si="163"/>
        <v>每牙</v>
      </c>
      <c r="E533" s="1" t="str">
        <f t="shared" si="162"/>
        <v>治疗费</v>
      </c>
    </row>
    <row r="534" spans="1:5">
      <c r="A534" s="1" t="str">
        <f>"龈下刮治"</f>
        <v>龈下刮治</v>
      </c>
      <c r="B534" s="1">
        <v>3.6</v>
      </c>
      <c r="C534" s="1" t="str">
        <f t="shared" si="161"/>
        <v>每牙</v>
      </c>
      <c r="D534" s="1" t="str">
        <f t="shared" si="163"/>
        <v>每牙</v>
      </c>
      <c r="E534" s="1" t="str">
        <f t="shared" si="162"/>
        <v>治疗费</v>
      </c>
    </row>
    <row r="535" spans="1:5">
      <c r="A535" s="1" t="str">
        <f>"牙周固定"</f>
        <v>牙周固定</v>
      </c>
      <c r="B535" s="1">
        <v>7.2</v>
      </c>
      <c r="C535" s="1" t="str">
        <f t="shared" ref="C535:C539" si="164">"-"</f>
        <v>-</v>
      </c>
      <c r="D535" s="1" t="str">
        <f t="shared" si="163"/>
        <v>每牙</v>
      </c>
      <c r="E535" s="1" t="str">
        <f t="shared" si="162"/>
        <v>治疗费</v>
      </c>
    </row>
    <row r="536" spans="1:5">
      <c r="A536" s="1" t="str">
        <f>"去除牙周固定"</f>
        <v>去除牙周固定</v>
      </c>
      <c r="B536" s="1">
        <v>3.6</v>
      </c>
      <c r="C536" s="1" t="str">
        <f t="shared" si="164"/>
        <v>-</v>
      </c>
      <c r="D536" s="1" t="str">
        <f t="shared" si="163"/>
        <v>每牙</v>
      </c>
      <c r="E536" s="1" t="str">
        <f t="shared" si="162"/>
        <v>治疗费</v>
      </c>
    </row>
    <row r="537" spans="1:5">
      <c r="A537" s="1" t="str">
        <f>"牙面光洁术"</f>
        <v>牙面光洁术</v>
      </c>
      <c r="B537" s="1">
        <v>1.2</v>
      </c>
      <c r="C537" s="1" t="str">
        <f t="shared" si="164"/>
        <v>-</v>
      </c>
      <c r="D537" s="1" t="str">
        <f t="shared" si="163"/>
        <v>每牙</v>
      </c>
      <c r="E537" s="1" t="str">
        <f t="shared" si="162"/>
        <v>治疗费</v>
      </c>
    </row>
    <row r="538" spans="1:5">
      <c r="A538" s="1" t="str">
        <f>"牙龈保护剂塞治"</f>
        <v>牙龈保护剂塞治</v>
      </c>
      <c r="B538" s="1">
        <v>6</v>
      </c>
      <c r="C538" s="1" t="str">
        <f t="shared" si="164"/>
        <v>-</v>
      </c>
      <c r="D538" s="1" t="str">
        <f t="shared" si="163"/>
        <v>每牙</v>
      </c>
      <c r="E538" s="1" t="str">
        <f t="shared" si="162"/>
        <v>治疗费</v>
      </c>
    </row>
    <row r="539" spans="1:5">
      <c r="A539" s="1" t="str">
        <f>"急性坏死性龈炎局部清创"</f>
        <v>急性坏死性龈炎局部清创</v>
      </c>
      <c r="B539" s="1">
        <v>12</v>
      </c>
      <c r="C539" s="1" t="str">
        <f t="shared" si="164"/>
        <v>-</v>
      </c>
      <c r="D539" s="1" t="str">
        <f t="shared" si="163"/>
        <v>每牙</v>
      </c>
      <c r="E539" s="1" t="str">
        <f>"手术费"</f>
        <v>手术费</v>
      </c>
    </row>
    <row r="540" spans="1:5">
      <c r="A540" s="1" t="str">
        <f>"根面平整术"</f>
        <v>根面平整术</v>
      </c>
      <c r="B540" s="1">
        <v>8.4</v>
      </c>
      <c r="C540" s="1" t="str">
        <f>"每牙"</f>
        <v>每牙</v>
      </c>
      <c r="D540" s="1" t="str">
        <f t="shared" si="163"/>
        <v>每牙</v>
      </c>
      <c r="E540" s="1" t="str">
        <f t="shared" ref="E540:E568" si="165">"治疗费"</f>
        <v>治疗费</v>
      </c>
    </row>
    <row r="541" spans="1:5">
      <c r="A541" s="1" t="str">
        <f>"根面平整术(超声根面平整)"</f>
        <v>根面平整术(超声根面平整)</v>
      </c>
      <c r="B541" s="1">
        <v>12</v>
      </c>
      <c r="C541" s="1" t="str">
        <f>"-"</f>
        <v>-</v>
      </c>
      <c r="D541" s="1" t="str">
        <f t="shared" si="163"/>
        <v>每牙</v>
      </c>
      <c r="E541" s="1" t="str">
        <f t="shared" si="165"/>
        <v>治疗费</v>
      </c>
    </row>
    <row r="542" spans="1:5">
      <c r="A542" s="1" t="str">
        <f>"口腔黏膜雾化治疗"</f>
        <v>口腔黏膜雾化治疗</v>
      </c>
      <c r="B542" s="1">
        <v>6</v>
      </c>
      <c r="C542" s="1" t="str">
        <f t="shared" ref="C542:C545" si="166">"次"</f>
        <v>次</v>
      </c>
      <c r="D542" s="1" t="str">
        <f t="shared" ref="D542:D546" si="167">"次"</f>
        <v>次</v>
      </c>
      <c r="E542" s="1" t="str">
        <f t="shared" si="165"/>
        <v>治疗费</v>
      </c>
    </row>
    <row r="543" spans="1:5">
      <c r="A543" s="1" t="str">
        <f>"口腔黏膜病特殊治疗（红外线治疗、微波、冷冻、频谱等法）"</f>
        <v>口腔黏膜病特殊治疗（红外线治疗、微波、冷冻、频谱等法）</v>
      </c>
      <c r="B543" s="1">
        <v>6</v>
      </c>
      <c r="C543" s="1" t="str">
        <f t="shared" si="166"/>
        <v>次</v>
      </c>
      <c r="D543" s="1" t="str">
        <f t="shared" si="167"/>
        <v>次</v>
      </c>
      <c r="E543" s="1" t="str">
        <f t="shared" si="165"/>
        <v>治疗费</v>
      </c>
    </row>
    <row r="544" spans="1:5">
      <c r="A544" s="1" t="str">
        <f>"颞下颌关节复位术"</f>
        <v>颞下颌关节复位术</v>
      </c>
      <c r="B544" s="1">
        <v>42</v>
      </c>
      <c r="C544" s="1">
        <v>1</v>
      </c>
      <c r="D544" s="1" t="str">
        <f>"每次"</f>
        <v>每次</v>
      </c>
      <c r="E544" s="1" t="str">
        <f t="shared" si="165"/>
        <v>治疗费</v>
      </c>
    </row>
    <row r="545" spans="1:5">
      <c r="A545" s="1" t="str">
        <f>"冠周炎局部治疗"</f>
        <v>冠周炎局部治疗</v>
      </c>
      <c r="B545" s="1">
        <v>10</v>
      </c>
      <c r="C545" s="1" t="str">
        <f t="shared" si="166"/>
        <v>次</v>
      </c>
      <c r="D545" s="1" t="str">
        <f t="shared" si="167"/>
        <v>次</v>
      </c>
      <c r="E545" s="1" t="str">
        <f t="shared" si="165"/>
        <v>治疗费</v>
      </c>
    </row>
    <row r="546" spans="1:5">
      <c r="A546" s="1" t="str">
        <f>"干槽症换药"</f>
        <v>干槽症换药</v>
      </c>
      <c r="B546" s="1">
        <v>17</v>
      </c>
      <c r="C546" s="1" t="str">
        <f>"-"</f>
        <v>-</v>
      </c>
      <c r="D546" s="1" t="str">
        <f t="shared" si="167"/>
        <v>次</v>
      </c>
      <c r="E546" s="1" t="str">
        <f t="shared" si="165"/>
        <v>治疗费</v>
      </c>
    </row>
    <row r="547" spans="1:5">
      <c r="A547" s="1" t="str">
        <f>"口腔颌面部各类冷冻治疗"</f>
        <v>口腔颌面部各类冷冻治疗</v>
      </c>
      <c r="B547" s="1">
        <v>30</v>
      </c>
      <c r="C547" s="1" t="str">
        <f>"每部位"</f>
        <v>每部位</v>
      </c>
      <c r="D547" s="1" t="str">
        <f>"每部位"</f>
        <v>每部位</v>
      </c>
      <c r="E547" s="1" t="str">
        <f t="shared" si="165"/>
        <v>治疗费</v>
      </c>
    </row>
    <row r="548" spans="1:5">
      <c r="A548" s="1" t="str">
        <f>"调磨合(代)垫"</f>
        <v>调磨合(代)垫</v>
      </c>
      <c r="B548" s="1">
        <v>6</v>
      </c>
      <c r="C548" s="1">
        <v>1</v>
      </c>
      <c r="D548" s="1" t="str">
        <f>"每次"</f>
        <v>每次</v>
      </c>
      <c r="E548" s="1" t="str">
        <f t="shared" si="165"/>
        <v>治疗费</v>
      </c>
    </row>
    <row r="549" spans="1:5">
      <c r="A549" s="1" t="str">
        <f>"冠修复"</f>
        <v>冠修复</v>
      </c>
      <c r="B549" s="1">
        <v>96</v>
      </c>
      <c r="C549" s="1" t="str">
        <f t="shared" ref="C549:C554" si="168">"每牙"</f>
        <v>每牙</v>
      </c>
      <c r="D549" s="1" t="str">
        <f t="shared" ref="D549:D554" si="169">"每牙"</f>
        <v>每牙</v>
      </c>
      <c r="E549" s="1" t="str">
        <f t="shared" si="165"/>
        <v>治疗费</v>
      </c>
    </row>
    <row r="550" spans="1:5">
      <c r="A550" s="1" t="str">
        <f>"冠修复（种植体冠）"</f>
        <v>冠修复（种植体冠）</v>
      </c>
      <c r="B550" s="1">
        <v>120</v>
      </c>
      <c r="C550" s="1">
        <v>1</v>
      </c>
      <c r="D550" s="1" t="str">
        <f t="shared" si="169"/>
        <v>每牙</v>
      </c>
      <c r="E550" s="1" t="str">
        <f t="shared" si="165"/>
        <v>治疗费</v>
      </c>
    </row>
    <row r="551" spans="1:5">
      <c r="A551" s="1" t="str">
        <f>"冠修复(烤塑冠、塑胶冠)"</f>
        <v>冠修复(烤塑冠、塑胶冠)</v>
      </c>
      <c r="B551" s="1">
        <v>48</v>
      </c>
      <c r="C551" s="1" t="str">
        <f>"-"</f>
        <v>-</v>
      </c>
      <c r="D551" s="1" t="str">
        <f t="shared" si="169"/>
        <v>每牙</v>
      </c>
      <c r="E551" s="1" t="str">
        <f t="shared" si="165"/>
        <v>治疗费</v>
      </c>
    </row>
    <row r="552" spans="1:5">
      <c r="A552" s="1" t="str">
        <f>"嵌体修复"</f>
        <v>嵌体修复</v>
      </c>
      <c r="B552" s="1">
        <v>144</v>
      </c>
      <c r="C552" s="1" t="str">
        <f t="shared" si="168"/>
        <v>每牙</v>
      </c>
      <c r="D552" s="1" t="str">
        <f t="shared" si="169"/>
        <v>每牙</v>
      </c>
      <c r="E552" s="1" t="str">
        <f t="shared" si="165"/>
        <v>治疗费</v>
      </c>
    </row>
    <row r="553" spans="1:5">
      <c r="A553" s="1" t="str">
        <f>"桩核根帽修复"</f>
        <v>桩核根帽修复</v>
      </c>
      <c r="B553" s="1">
        <v>96</v>
      </c>
      <c r="C553" s="1" t="str">
        <f t="shared" si="168"/>
        <v>每牙</v>
      </c>
      <c r="D553" s="1" t="str">
        <f t="shared" si="169"/>
        <v>每牙</v>
      </c>
      <c r="E553" s="1" t="str">
        <f t="shared" si="165"/>
        <v>治疗费</v>
      </c>
    </row>
    <row r="554" spans="1:5">
      <c r="A554" s="1" t="str">
        <f>"固定桥"</f>
        <v>固定桥</v>
      </c>
      <c r="B554" s="1">
        <v>120</v>
      </c>
      <c r="C554" s="1" t="str">
        <f t="shared" si="168"/>
        <v>每牙</v>
      </c>
      <c r="D554" s="1" t="str">
        <f t="shared" si="169"/>
        <v>每牙</v>
      </c>
      <c r="E554" s="1" t="str">
        <f t="shared" si="165"/>
        <v>治疗费</v>
      </c>
    </row>
    <row r="555" spans="1:5">
      <c r="A555" s="1" t="str">
        <f>"咬合重建"</f>
        <v>咬合重建</v>
      </c>
      <c r="B555" s="1">
        <v>96</v>
      </c>
      <c r="C555" s="1" t="str">
        <f>"次"</f>
        <v>次</v>
      </c>
      <c r="D555" s="1" t="str">
        <f>"次"</f>
        <v>次</v>
      </c>
      <c r="E555" s="1" t="str">
        <f t="shared" si="165"/>
        <v>治疗费</v>
      </c>
    </row>
    <row r="556" spans="1:5">
      <c r="A556" s="1" t="str">
        <f>"复杂冠桥修复"</f>
        <v>复杂冠桥修复</v>
      </c>
      <c r="B556" s="1">
        <v>96</v>
      </c>
      <c r="C556" s="1" t="str">
        <f>"项"</f>
        <v>项</v>
      </c>
      <c r="D556" s="1" t="str">
        <f>"项"</f>
        <v>项</v>
      </c>
      <c r="E556" s="1" t="str">
        <f t="shared" si="165"/>
        <v>治疗费</v>
      </c>
    </row>
    <row r="557" spans="1:5">
      <c r="A557" s="1" t="str">
        <f>"咬合重建特殊设计费加收"</f>
        <v>咬合重建特殊设计费加收</v>
      </c>
      <c r="B557" s="1">
        <v>30</v>
      </c>
      <c r="C557" s="1" t="str">
        <f>"次"</f>
        <v>次</v>
      </c>
      <c r="D557" s="1" t="str">
        <f>"次"</f>
        <v>次</v>
      </c>
      <c r="E557" s="1" t="str">
        <f t="shared" si="165"/>
        <v>治疗费</v>
      </c>
    </row>
    <row r="558" spans="1:5">
      <c r="A558" s="1" t="str">
        <f>"粘结"</f>
        <v>粘结</v>
      </c>
      <c r="B558" s="1">
        <v>4</v>
      </c>
      <c r="C558" s="1" t="str">
        <f>"牙"</f>
        <v>牙</v>
      </c>
      <c r="D558" s="1" t="str">
        <f t="shared" ref="D558:D563" si="170">"每牙"</f>
        <v>每牙</v>
      </c>
      <c r="E558" s="1" t="str">
        <f t="shared" si="165"/>
        <v>治疗费</v>
      </c>
    </row>
    <row r="559" spans="1:5">
      <c r="A559" s="1" t="str">
        <f>"活动桥"</f>
        <v>活动桥</v>
      </c>
      <c r="B559" s="1">
        <v>60</v>
      </c>
      <c r="C559" s="1" t="str">
        <f t="shared" ref="C559:C562" si="171">"每牙"</f>
        <v>每牙</v>
      </c>
      <c r="D559" s="1" t="str">
        <f t="shared" si="170"/>
        <v>每牙</v>
      </c>
      <c r="E559" s="1" t="str">
        <f t="shared" si="165"/>
        <v>治疗费</v>
      </c>
    </row>
    <row r="560" spans="1:5">
      <c r="A560" s="1" t="str">
        <f>"活动桥每增加牙、卡环加收"</f>
        <v>活动桥每增加牙、卡环加收</v>
      </c>
      <c r="B560" s="1">
        <v>24</v>
      </c>
      <c r="C560" s="1" t="str">
        <f t="shared" si="171"/>
        <v>每牙</v>
      </c>
      <c r="D560" s="1" t="str">
        <f t="shared" si="170"/>
        <v>每牙</v>
      </c>
      <c r="E560" s="1" t="str">
        <f t="shared" si="165"/>
        <v>治疗费</v>
      </c>
    </row>
    <row r="561" spans="1:5">
      <c r="A561" s="1" t="str">
        <f>"塑料可摘局部义齿"</f>
        <v>塑料可摘局部义齿</v>
      </c>
      <c r="B561" s="1">
        <v>96</v>
      </c>
      <c r="C561" s="1" t="str">
        <f t="shared" si="171"/>
        <v>每牙</v>
      </c>
      <c r="D561" s="1" t="str">
        <f t="shared" si="170"/>
        <v>每牙</v>
      </c>
      <c r="E561" s="1" t="str">
        <f t="shared" si="165"/>
        <v>治疗费</v>
      </c>
    </row>
    <row r="562" spans="1:5">
      <c r="A562" s="1" t="str">
        <f>"铸造可摘局部义齿"</f>
        <v>铸造可摘局部义齿</v>
      </c>
      <c r="B562" s="1">
        <v>240</v>
      </c>
      <c r="C562" s="1" t="str">
        <f t="shared" si="171"/>
        <v>每牙</v>
      </c>
      <c r="D562" s="1" t="str">
        <f t="shared" si="170"/>
        <v>每牙</v>
      </c>
      <c r="E562" s="1" t="str">
        <f t="shared" si="165"/>
        <v>治疗费</v>
      </c>
    </row>
    <row r="563" spans="1:5">
      <c r="A563" s="1" t="str">
        <f>"美容义齿（铸瓷全冠）"</f>
        <v>美容义齿（铸瓷全冠）</v>
      </c>
      <c r="B563" s="1">
        <v>1800</v>
      </c>
      <c r="C563" s="1" t="str">
        <f t="shared" ref="C563:C566" si="172">"/"</f>
        <v>/</v>
      </c>
      <c r="D563" s="1" t="str">
        <f t="shared" si="170"/>
        <v>每牙</v>
      </c>
      <c r="E563" s="1" t="str">
        <f t="shared" si="165"/>
        <v>治疗费</v>
      </c>
    </row>
    <row r="564" spans="1:5">
      <c r="A564" s="1" t="str">
        <f>"美容义齿（纯钛金属冠）"</f>
        <v>美容义齿（纯钛金属冠）</v>
      </c>
      <c r="B564" s="1">
        <v>1000</v>
      </c>
      <c r="C564" s="1" t="str">
        <f t="shared" si="172"/>
        <v>/</v>
      </c>
      <c r="D564" s="1" t="str">
        <f>"例"</f>
        <v>例</v>
      </c>
      <c r="E564" s="1" t="str">
        <f t="shared" si="165"/>
        <v>治疗费</v>
      </c>
    </row>
    <row r="565" spans="1:5">
      <c r="A565" s="1" t="str">
        <f>"美容义齿(四层色美容修复总义齿(纯钛腭板))"</f>
        <v>美容义齿(四层色美容修复总义齿(纯钛腭板))</v>
      </c>
      <c r="B565" s="1">
        <v>750</v>
      </c>
      <c r="C565" s="1" t="str">
        <f t="shared" si="172"/>
        <v>/</v>
      </c>
      <c r="D565" s="1" t="str">
        <f>"单颌"</f>
        <v>单颌</v>
      </c>
      <c r="E565" s="1" t="str">
        <f t="shared" si="165"/>
        <v>治疗费</v>
      </c>
    </row>
    <row r="566" spans="1:5">
      <c r="A566" s="1" t="str">
        <f>"美容义齿（纯钛中支架）"</f>
        <v>美容义齿（纯钛中支架）</v>
      </c>
      <c r="B566" s="1">
        <v>2000</v>
      </c>
      <c r="C566" s="1" t="str">
        <f t="shared" si="172"/>
        <v>/</v>
      </c>
      <c r="D566" s="1" t="str">
        <f>"每件"</f>
        <v>每件</v>
      </c>
      <c r="E566" s="1" t="str">
        <f t="shared" si="165"/>
        <v>治疗费</v>
      </c>
    </row>
    <row r="567" spans="1:5">
      <c r="A567" s="1" t="str">
        <f>"美容义齿(四层色美容修复总义齿)"</f>
        <v>美容义齿(四层色美容修复总义齿)</v>
      </c>
      <c r="B567" s="1">
        <v>2500</v>
      </c>
      <c r="C567" s="1" t="str">
        <f>"-"</f>
        <v>-</v>
      </c>
      <c r="D567" s="1" t="str">
        <f t="shared" ref="D567:D573" si="173">"每牙"</f>
        <v>每牙</v>
      </c>
      <c r="E567" s="1" t="str">
        <f t="shared" si="165"/>
        <v>治疗费</v>
      </c>
    </row>
    <row r="568" spans="1:5">
      <c r="A568" s="1" t="str">
        <f>"美容义齿（计算机全瓷）"</f>
        <v>美容义齿（计算机全瓷）</v>
      </c>
      <c r="B568" s="1">
        <v>3500</v>
      </c>
      <c r="C568" s="1" t="str">
        <f t="shared" ref="C568:C570" si="174">"每牙"</f>
        <v>每牙</v>
      </c>
      <c r="D568" s="1" t="str">
        <f t="shared" si="173"/>
        <v>每牙</v>
      </c>
      <c r="E568" s="1" t="str">
        <f t="shared" si="165"/>
        <v>治疗费</v>
      </c>
    </row>
    <row r="569" spans="1:5">
      <c r="A569" s="1" t="str">
        <f>"美容义齿（计算机全瓷3）"</f>
        <v>美容义齿（计算机全瓷3）</v>
      </c>
      <c r="B569" s="1">
        <v>2500</v>
      </c>
      <c r="C569" s="1" t="str">
        <f t="shared" si="174"/>
        <v>每牙</v>
      </c>
      <c r="D569" s="1" t="str">
        <f t="shared" si="173"/>
        <v>每牙</v>
      </c>
      <c r="E569" s="1" t="str">
        <f>"治疗费(含材料费)"</f>
        <v>治疗费(含材料费)</v>
      </c>
    </row>
    <row r="570" spans="1:5">
      <c r="A570" s="1" t="str">
        <f>"美容义齿(隐形义齿增加一牙加收)"</f>
        <v>美容义齿(隐形义齿增加一牙加收)</v>
      </c>
      <c r="B570" s="1">
        <v>50</v>
      </c>
      <c r="C570" s="1" t="str">
        <f t="shared" si="174"/>
        <v>每牙</v>
      </c>
      <c r="D570" s="1" t="str">
        <f t="shared" si="173"/>
        <v>每牙</v>
      </c>
      <c r="E570" s="1" t="str">
        <f t="shared" ref="E570:E592" si="175">"治疗费"</f>
        <v>治疗费</v>
      </c>
    </row>
    <row r="571" spans="1:5">
      <c r="A571" s="1" t="str">
        <f>"美容义齿（纯钛烤瓷冠）"</f>
        <v>美容义齿（纯钛烤瓷冠）</v>
      </c>
      <c r="B571" s="1">
        <v>1500</v>
      </c>
      <c r="C571" s="1" t="str">
        <f t="shared" ref="C571:C574" si="176">"/"</f>
        <v>/</v>
      </c>
      <c r="D571" s="1" t="str">
        <f t="shared" si="173"/>
        <v>每牙</v>
      </c>
      <c r="E571" s="1" t="str">
        <f t="shared" si="175"/>
        <v>治疗费</v>
      </c>
    </row>
    <row r="572" spans="1:5">
      <c r="A572" s="1" t="str">
        <f>"美容义齿（贱金属烧烤瓷冠）"</f>
        <v>美容义齿（贱金属烧烤瓷冠）</v>
      </c>
      <c r="B572" s="1">
        <v>400</v>
      </c>
      <c r="C572" s="1" t="str">
        <f t="shared" si="176"/>
        <v>/</v>
      </c>
      <c r="D572" s="1" t="str">
        <f t="shared" si="173"/>
        <v>每牙</v>
      </c>
      <c r="E572" s="1" t="str">
        <f t="shared" si="175"/>
        <v>治疗费</v>
      </c>
    </row>
    <row r="573" spans="1:5">
      <c r="A573" s="1" t="str">
        <f>"美容义齿(隐形义齿)"</f>
        <v>美容义齿(隐形义齿)</v>
      </c>
      <c r="B573" s="1">
        <v>350</v>
      </c>
      <c r="C573" s="1" t="str">
        <f t="shared" si="176"/>
        <v>/</v>
      </c>
      <c r="D573" s="1" t="str">
        <f t="shared" si="173"/>
        <v>每牙</v>
      </c>
      <c r="E573" s="1" t="str">
        <f t="shared" si="175"/>
        <v>治疗费</v>
      </c>
    </row>
    <row r="574" spans="1:5">
      <c r="A574" s="1" t="str">
        <f>"美容义齿（纯钛大支架）"</f>
        <v>美容义齿（纯钛大支架）</v>
      </c>
      <c r="B574" s="1">
        <v>3500</v>
      </c>
      <c r="C574" s="1" t="str">
        <f t="shared" si="176"/>
        <v>/</v>
      </c>
      <c r="D574" s="1" t="str">
        <f>"每件"</f>
        <v>每件</v>
      </c>
      <c r="E574" s="1" t="str">
        <f t="shared" si="175"/>
        <v>治疗费</v>
      </c>
    </row>
    <row r="575" spans="1:5">
      <c r="A575" s="1" t="str">
        <f>"即刻义齿"</f>
        <v>即刻义齿</v>
      </c>
      <c r="B575" s="1">
        <v>19</v>
      </c>
      <c r="C575" s="1" t="str">
        <f t="shared" ref="C575:C582" si="177">"-"</f>
        <v>-</v>
      </c>
      <c r="D575" s="1" t="str">
        <f t="shared" ref="D575:D581" si="178">"每牙"</f>
        <v>每牙</v>
      </c>
      <c r="E575" s="1" t="str">
        <f t="shared" si="175"/>
        <v>治疗费</v>
      </c>
    </row>
    <row r="576" spans="1:5">
      <c r="A576" s="1" t="str">
        <f>"附着体义齿"</f>
        <v>附着体义齿</v>
      </c>
      <c r="B576" s="1">
        <v>180</v>
      </c>
      <c r="C576" s="1" t="str">
        <f t="shared" si="177"/>
        <v>-</v>
      </c>
      <c r="D576" s="1" t="str">
        <f t="shared" si="178"/>
        <v>每牙</v>
      </c>
      <c r="E576" s="1" t="str">
        <f t="shared" si="175"/>
        <v>治疗费</v>
      </c>
    </row>
    <row r="577" spans="1:5">
      <c r="A577" s="1" t="str">
        <f>"总义齿"</f>
        <v>总义齿</v>
      </c>
      <c r="B577" s="1">
        <v>360</v>
      </c>
      <c r="C577" s="1">
        <v>1</v>
      </c>
      <c r="D577" s="1" t="str">
        <f>"单颌"</f>
        <v>单颌</v>
      </c>
      <c r="E577" s="1" t="str">
        <f t="shared" si="175"/>
        <v>治疗费</v>
      </c>
    </row>
    <row r="578" spans="1:5">
      <c r="A578" s="1" t="str">
        <f>"拆冠桥（锤造冠）"</f>
        <v>拆冠桥（锤造冠）</v>
      </c>
      <c r="B578" s="1">
        <v>12</v>
      </c>
      <c r="C578" s="1" t="str">
        <f>"每牙"</f>
        <v>每牙</v>
      </c>
      <c r="D578" s="1" t="str">
        <f t="shared" si="178"/>
        <v>每牙</v>
      </c>
      <c r="E578" s="1" t="str">
        <f t="shared" si="175"/>
        <v>治疗费</v>
      </c>
    </row>
    <row r="579" spans="1:5">
      <c r="A579" s="1" t="str">
        <f>"拆冠桥（铸造冠）"</f>
        <v>拆冠桥（铸造冠）</v>
      </c>
      <c r="B579" s="1">
        <v>20</v>
      </c>
      <c r="C579" s="1" t="str">
        <f>"每牙"</f>
        <v>每牙</v>
      </c>
      <c r="D579" s="1" t="str">
        <f t="shared" si="178"/>
        <v>每牙</v>
      </c>
      <c r="E579" s="1" t="str">
        <f t="shared" si="175"/>
        <v>治疗费</v>
      </c>
    </row>
    <row r="580" spans="1:5">
      <c r="A580" s="1" t="str">
        <f>"拆桩"</f>
        <v>拆桩</v>
      </c>
      <c r="B580" s="1">
        <v>12</v>
      </c>
      <c r="C580" s="1" t="str">
        <f t="shared" si="177"/>
        <v>-</v>
      </c>
      <c r="D580" s="1" t="str">
        <f t="shared" si="178"/>
        <v>每牙</v>
      </c>
      <c r="E580" s="1" t="str">
        <f t="shared" si="175"/>
        <v>治疗费</v>
      </c>
    </row>
    <row r="581" spans="1:5">
      <c r="A581" s="1" t="str">
        <f>"烤瓷冠崩瓷修理"</f>
        <v>烤瓷冠崩瓷修理</v>
      </c>
      <c r="B581" s="1">
        <v>14</v>
      </c>
      <c r="C581" s="1" t="str">
        <f t="shared" si="177"/>
        <v>-</v>
      </c>
      <c r="D581" s="1" t="str">
        <f t="shared" si="178"/>
        <v>每牙</v>
      </c>
      <c r="E581" s="1" t="str">
        <f t="shared" si="175"/>
        <v>治疗费</v>
      </c>
    </row>
    <row r="582" spans="1:5">
      <c r="A582" s="1" t="str">
        <f>"调改义齿"</f>
        <v>调改义齿</v>
      </c>
      <c r="B582" s="1">
        <v>3.6</v>
      </c>
      <c r="C582" s="1" t="str">
        <f t="shared" si="177"/>
        <v>-</v>
      </c>
      <c r="D582" s="1" t="str">
        <f t="shared" ref="D582:D584" si="179">"次"</f>
        <v>次</v>
      </c>
      <c r="E582" s="1" t="str">
        <f t="shared" si="175"/>
        <v>治疗费</v>
      </c>
    </row>
    <row r="583" spans="1:5">
      <c r="A583" s="1" t="str">
        <f>"取局部关系记录"</f>
        <v>取局部关系记录</v>
      </c>
      <c r="B583" s="1">
        <v>12</v>
      </c>
      <c r="C583" s="1" t="str">
        <f t="shared" ref="C583:C587" si="180">"次"</f>
        <v>次</v>
      </c>
      <c r="D583" s="1" t="str">
        <f t="shared" si="179"/>
        <v>次</v>
      </c>
      <c r="E583" s="1" t="str">
        <f t="shared" si="175"/>
        <v>治疗费</v>
      </c>
    </row>
    <row r="584" spans="1:5">
      <c r="A584" s="1" t="str">
        <f>"取正中关系记录"</f>
        <v>取正中关系记录</v>
      </c>
      <c r="B584" s="1">
        <v>36</v>
      </c>
      <c r="C584" s="1" t="str">
        <f t="shared" si="180"/>
        <v>次</v>
      </c>
      <c r="D584" s="1" t="str">
        <f t="shared" si="179"/>
        <v>次</v>
      </c>
      <c r="E584" s="1" t="str">
        <f t="shared" si="175"/>
        <v>治疗费</v>
      </c>
    </row>
    <row r="585" spans="1:5">
      <c r="A585" s="1" t="str">
        <f>"加人工牙"</f>
        <v>加人工牙</v>
      </c>
      <c r="B585" s="1">
        <v>18</v>
      </c>
      <c r="C585" s="1" t="str">
        <f t="shared" ref="C585:C589" si="181">"-"</f>
        <v>-</v>
      </c>
      <c r="D585" s="1" t="str">
        <f>"每牙"</f>
        <v>每牙</v>
      </c>
      <c r="E585" s="1" t="str">
        <f t="shared" si="175"/>
        <v>治疗费</v>
      </c>
    </row>
    <row r="586" spans="1:5">
      <c r="A586" s="1" t="str">
        <f>"义齿接长基托"</f>
        <v>义齿接长基托</v>
      </c>
      <c r="B586" s="1">
        <v>12</v>
      </c>
      <c r="C586" s="1" t="str">
        <f t="shared" si="181"/>
        <v>-</v>
      </c>
      <c r="D586" s="1" t="str">
        <f t="shared" ref="D586:D591" si="182">"次"</f>
        <v>次</v>
      </c>
      <c r="E586" s="1" t="str">
        <f t="shared" si="175"/>
        <v>治疗费</v>
      </c>
    </row>
    <row r="587" spans="1:5">
      <c r="A587" s="1" t="str">
        <f>"义齿裂纹及折裂修理"</f>
        <v>义齿裂纹及折裂修理</v>
      </c>
      <c r="B587" s="1">
        <v>24</v>
      </c>
      <c r="C587" s="1" t="str">
        <f t="shared" si="180"/>
        <v>次</v>
      </c>
      <c r="D587" s="1" t="str">
        <f t="shared" si="182"/>
        <v>次</v>
      </c>
      <c r="E587" s="1" t="str">
        <f t="shared" si="175"/>
        <v>治疗费</v>
      </c>
    </row>
    <row r="588" spans="1:5">
      <c r="A588" s="1" t="str">
        <f>"义齿组织面重衬"</f>
        <v>义齿组织面重衬</v>
      </c>
      <c r="B588" s="1">
        <v>6</v>
      </c>
      <c r="C588" s="1" t="str">
        <f>"厘米"</f>
        <v>厘米</v>
      </c>
      <c r="D588" s="1" t="str">
        <f>"每厘米"</f>
        <v>每厘米</v>
      </c>
      <c r="E588" s="1" t="str">
        <f t="shared" si="175"/>
        <v>治疗费</v>
      </c>
    </row>
    <row r="589" spans="1:5">
      <c r="A589" s="1" t="str">
        <f>"加卡环"</f>
        <v>加卡环</v>
      </c>
      <c r="B589" s="1">
        <v>12</v>
      </c>
      <c r="C589" s="1" t="str">
        <f t="shared" si="181"/>
        <v>-</v>
      </c>
      <c r="D589" s="1" t="str">
        <f>"每卡环"</f>
        <v>每卡环</v>
      </c>
      <c r="E589" s="1" t="str">
        <f t="shared" si="175"/>
        <v>治疗费</v>
      </c>
    </row>
    <row r="590" spans="1:5">
      <c r="A590" s="1" t="str">
        <f>"增加铸造基托"</f>
        <v>增加铸造基托</v>
      </c>
      <c r="B590" s="1">
        <v>26</v>
      </c>
      <c r="C590" s="1" t="str">
        <f>"5＋5"</f>
        <v>5＋5</v>
      </c>
      <c r="D590" s="1" t="str">
        <f>"个"</f>
        <v>个</v>
      </c>
      <c r="E590" s="1" t="str">
        <f t="shared" si="175"/>
        <v>治疗费</v>
      </c>
    </row>
    <row r="591" spans="1:5">
      <c r="A591" s="1" t="str">
        <f>"加合(代)颌支托"</f>
        <v>加合(代)颌支托</v>
      </c>
      <c r="B591" s="1">
        <v>18</v>
      </c>
      <c r="C591" s="1">
        <v>1</v>
      </c>
      <c r="D591" s="1" t="str">
        <f t="shared" si="182"/>
        <v>次</v>
      </c>
      <c r="E591" s="1" t="str">
        <f t="shared" si="175"/>
        <v>治疗费</v>
      </c>
    </row>
    <row r="592" spans="1:5">
      <c r="A592" s="1" t="str">
        <f>"合（代）垫"</f>
        <v>合（代）垫</v>
      </c>
      <c r="B592" s="1">
        <v>144</v>
      </c>
      <c r="C592" s="1" t="str">
        <f>"件"</f>
        <v>件</v>
      </c>
      <c r="D592" s="1" t="str">
        <f>"件"</f>
        <v>件</v>
      </c>
      <c r="E592" s="1" t="str">
        <f t="shared" si="175"/>
        <v>治疗费</v>
      </c>
    </row>
    <row r="593" spans="1:5">
      <c r="A593" s="1" t="str">
        <f>"乳牙期安氏I类错灋正畸治疗"</f>
        <v>乳牙期安氏I类错灋正畸治疗</v>
      </c>
      <c r="B593" s="1">
        <v>2000</v>
      </c>
      <c r="C593" s="1" t="str">
        <f t="shared" ref="C593:C599" si="183">"次"</f>
        <v>次</v>
      </c>
      <c r="D593" s="1" t="str">
        <f t="shared" ref="D593:D599" si="184">"次"</f>
        <v>次</v>
      </c>
      <c r="E593" s="1" t="str">
        <f t="shared" ref="E593:E596" si="185">"治疗费(含材料费)"</f>
        <v>治疗费(含材料费)</v>
      </c>
    </row>
    <row r="594" spans="1:5">
      <c r="A594" s="1" t="str">
        <f>"替牙期安氏I类错活动矫治器正畸治疗"</f>
        <v>替牙期安氏I类错活动矫治器正畸治疗</v>
      </c>
      <c r="B594" s="1">
        <v>4000</v>
      </c>
      <c r="C594" s="1" t="str">
        <f t="shared" ref="C594:C597" si="186">"项"</f>
        <v>项</v>
      </c>
      <c r="D594" s="1" t="str">
        <f t="shared" ref="D594:D597" si="187">"项"</f>
        <v>项</v>
      </c>
      <c r="E594" s="1" t="str">
        <f t="shared" si="185"/>
        <v>治疗费(含材料费)</v>
      </c>
    </row>
    <row r="595" spans="1:5">
      <c r="A595" s="1" t="str">
        <f>"替牙期安氏I类错灋固定矫治器正畸治疗"</f>
        <v>替牙期安氏I类错灋固定矫治器正畸治疗</v>
      </c>
      <c r="B595" s="1">
        <v>6000</v>
      </c>
      <c r="C595" s="1" t="str">
        <f t="shared" si="183"/>
        <v>次</v>
      </c>
      <c r="D595" s="1" t="str">
        <f t="shared" si="184"/>
        <v>次</v>
      </c>
      <c r="E595" s="1" t="str">
        <f t="shared" si="185"/>
        <v>治疗费(含材料费)</v>
      </c>
    </row>
    <row r="596" spans="1:5">
      <c r="A596" s="1" t="str">
        <f>"恒牙期安氏I类错固定矫治器正畸治疗"</f>
        <v>恒牙期安氏I类错固定矫治器正畸治疗</v>
      </c>
      <c r="B596" s="1">
        <v>12000</v>
      </c>
      <c r="C596" s="1" t="str">
        <f t="shared" si="186"/>
        <v>项</v>
      </c>
      <c r="D596" s="1" t="str">
        <f t="shared" si="187"/>
        <v>项</v>
      </c>
      <c r="E596" s="1" t="str">
        <f t="shared" si="185"/>
        <v>治疗费(含材料费)</v>
      </c>
    </row>
    <row r="597" spans="1:5">
      <c r="A597" s="1" t="str">
        <f>"恒牙期安氏Il类错固定矫治器正畸治疗"</f>
        <v>恒牙期安氏Il类错固定矫治器正畸治疗</v>
      </c>
      <c r="B597" s="1">
        <v>12000</v>
      </c>
      <c r="C597" s="1" t="str">
        <f t="shared" si="186"/>
        <v>项</v>
      </c>
      <c r="D597" s="1" t="str">
        <f t="shared" si="187"/>
        <v>项</v>
      </c>
      <c r="E597" s="1" t="str">
        <f>"治疗费"</f>
        <v>治疗费</v>
      </c>
    </row>
    <row r="598" spans="1:5">
      <c r="A598" s="1" t="str">
        <f>"恒牙期安氏I类错合固定矫治器正畸治疗"</f>
        <v>恒牙期安氏I类错合固定矫治器正畸治疗</v>
      </c>
      <c r="B598" s="1">
        <v>15000</v>
      </c>
      <c r="C598" s="1" t="str">
        <f t="shared" si="183"/>
        <v>次</v>
      </c>
      <c r="D598" s="1" t="str">
        <f t="shared" si="184"/>
        <v>次</v>
      </c>
      <c r="E598" s="1" t="str">
        <f t="shared" ref="E598:E613" si="188">"治疗费(含材料费)"</f>
        <v>治疗费(含材料费)</v>
      </c>
    </row>
    <row r="599" spans="1:5">
      <c r="A599" s="1" t="str">
        <f>"乳牙期安氏II类错灋正畸治疗"</f>
        <v>乳牙期安氏II类错灋正畸治疗</v>
      </c>
      <c r="B599" s="1">
        <v>5000</v>
      </c>
      <c r="C599" s="1" t="str">
        <f t="shared" si="183"/>
        <v>次</v>
      </c>
      <c r="D599" s="1" t="str">
        <f t="shared" si="184"/>
        <v>次</v>
      </c>
      <c r="E599" s="1" t="str">
        <f t="shared" si="188"/>
        <v>治疗费(含材料费)</v>
      </c>
    </row>
    <row r="600" spans="1:5">
      <c r="A600" s="1" t="str">
        <f>"替牙期安氏II类错口腔不良习惯正畸治疗"</f>
        <v>替牙期安氏II类错口腔不良习惯正畸治疗</v>
      </c>
      <c r="B600" s="1">
        <v>5000</v>
      </c>
      <c r="C600" s="1" t="str">
        <f>"项"</f>
        <v>项</v>
      </c>
      <c r="D600" s="1" t="str">
        <f>"项"</f>
        <v>项</v>
      </c>
      <c r="E600" s="1" t="str">
        <f t="shared" si="188"/>
        <v>治疗费(含材料费)</v>
      </c>
    </row>
    <row r="601" spans="1:5">
      <c r="A601" s="1" t="str">
        <f>"替牙期牙性安氏II类错合活动矫治器正畸治疗"</f>
        <v>替牙期牙性安氏II类错合活动矫治器正畸治疗</v>
      </c>
      <c r="B601" s="1">
        <v>4000</v>
      </c>
      <c r="C601" s="1" t="str">
        <f t="shared" ref="C601:C603" si="189">"次"</f>
        <v>次</v>
      </c>
      <c r="D601" s="1" t="str">
        <f t="shared" ref="D601:D603" si="190">"次"</f>
        <v>次</v>
      </c>
      <c r="E601" s="1" t="str">
        <f t="shared" si="188"/>
        <v>治疗费(含材料费)</v>
      </c>
    </row>
    <row r="602" spans="1:5">
      <c r="A602" s="1" t="str">
        <f>"替牙期牙性安氏II类错合固定矫治器正畸治疗"</f>
        <v>替牙期牙性安氏II类错合固定矫治器正畸治疗</v>
      </c>
      <c r="B602" s="1">
        <v>6000</v>
      </c>
      <c r="C602" s="1" t="str">
        <f t="shared" si="189"/>
        <v>次</v>
      </c>
      <c r="D602" s="1" t="str">
        <f t="shared" si="190"/>
        <v>次</v>
      </c>
      <c r="E602" s="1" t="str">
        <f t="shared" si="188"/>
        <v>治疗费(含材料费)</v>
      </c>
    </row>
    <row r="603" spans="1:5">
      <c r="A603" s="1" t="str">
        <f>"替牙期骨性安氏II类错合正畸治疗"</f>
        <v>替牙期骨性安氏II类错合正畸治疗</v>
      </c>
      <c r="B603" s="1">
        <v>7000</v>
      </c>
      <c r="C603" s="1" t="str">
        <f t="shared" si="189"/>
        <v>次</v>
      </c>
      <c r="D603" s="1" t="str">
        <f t="shared" si="190"/>
        <v>次</v>
      </c>
      <c r="E603" s="1" t="str">
        <f t="shared" si="188"/>
        <v>治疗费(含材料费)</v>
      </c>
    </row>
    <row r="604" spans="1:5">
      <c r="A604" s="1" t="str">
        <f>"恒牙早期安氏II类错功能矫治器治疗"</f>
        <v>恒牙早期安氏II类错功能矫治器治疗</v>
      </c>
      <c r="B604" s="1">
        <v>12000</v>
      </c>
      <c r="C604" s="1" t="str">
        <f>"项"</f>
        <v>项</v>
      </c>
      <c r="D604" s="1" t="str">
        <f>"项"</f>
        <v>项</v>
      </c>
      <c r="E604" s="1" t="str">
        <f t="shared" si="188"/>
        <v>治疗费(含材料费)</v>
      </c>
    </row>
    <row r="605" spans="1:5">
      <c r="A605" s="1" t="str">
        <f>"恒牙期牙性安氏II类错合固定矫治器治疗"</f>
        <v>恒牙期牙性安氏II类错合固定矫治器治疗</v>
      </c>
      <c r="B605" s="1">
        <v>15000</v>
      </c>
      <c r="C605" s="1" t="str">
        <f t="shared" ref="C605:C607" si="191">"次"</f>
        <v>次</v>
      </c>
      <c r="D605" s="1" t="str">
        <f t="shared" ref="D605:D607" si="192">"次"</f>
        <v>次</v>
      </c>
      <c r="E605" s="1" t="str">
        <f t="shared" si="188"/>
        <v>治疗费(含材料费)</v>
      </c>
    </row>
    <row r="606" spans="1:5">
      <c r="A606" s="1" t="str">
        <f>"恒牙期骨性安氏II类错合固定矫治器拔牙治疗"</f>
        <v>恒牙期骨性安氏II类错合固定矫治器拔牙治疗</v>
      </c>
      <c r="B606" s="1">
        <v>15000</v>
      </c>
      <c r="C606" s="1" t="str">
        <f t="shared" si="191"/>
        <v>次</v>
      </c>
      <c r="D606" s="1" t="str">
        <f t="shared" si="192"/>
        <v>次</v>
      </c>
      <c r="E606" s="1" t="str">
        <f t="shared" si="188"/>
        <v>治疗费(含材料费)</v>
      </c>
    </row>
    <row r="607" spans="1:5">
      <c r="A607" s="1" t="str">
        <f>"乳牙期安氏III类错合正畸治疗"</f>
        <v>乳牙期安氏III类错合正畸治疗</v>
      </c>
      <c r="B607" s="1">
        <v>3000</v>
      </c>
      <c r="C607" s="1" t="str">
        <f t="shared" si="191"/>
        <v>次</v>
      </c>
      <c r="D607" s="1" t="str">
        <f t="shared" si="192"/>
        <v>次</v>
      </c>
      <c r="E607" s="1" t="str">
        <f t="shared" si="188"/>
        <v>治疗费(含材料费)</v>
      </c>
    </row>
    <row r="608" spans="1:5">
      <c r="A608" s="1" t="str">
        <f>"替牙期安氏III类错正畸治疗"</f>
        <v>替牙期安氏III类错正畸治疗</v>
      </c>
      <c r="B608" s="1">
        <v>4500</v>
      </c>
      <c r="C608" s="1" t="str">
        <f>"项"</f>
        <v>项</v>
      </c>
      <c r="D608" s="1" t="str">
        <f>"项"</f>
        <v>项</v>
      </c>
      <c r="E608" s="1" t="str">
        <f t="shared" si="188"/>
        <v>治疗费(含材料费)</v>
      </c>
    </row>
    <row r="609" spans="1:5">
      <c r="A609" s="1" t="str">
        <f>"替牙期安氏III类错合正畸治疗"</f>
        <v>替牙期安氏III类错合正畸治疗</v>
      </c>
      <c r="B609" s="1">
        <v>8000</v>
      </c>
      <c r="C609" s="1" t="str">
        <f t="shared" ref="C609:C613" si="193">"次"</f>
        <v>次</v>
      </c>
      <c r="D609" s="1" t="str">
        <f t="shared" ref="D609:D615" si="194">"次"</f>
        <v>次</v>
      </c>
      <c r="E609" s="1" t="str">
        <f t="shared" si="188"/>
        <v>治疗费(含材料费)</v>
      </c>
    </row>
    <row r="610" spans="1:5">
      <c r="A610" s="1" t="str">
        <f>"替牙期安氏III类错合功能矫治器治疗"</f>
        <v>替牙期安氏III类错合功能矫治器治疗</v>
      </c>
      <c r="B610" s="1">
        <v>4000</v>
      </c>
      <c r="C610" s="1" t="str">
        <f t="shared" si="193"/>
        <v>次</v>
      </c>
      <c r="D610" s="1" t="str">
        <f t="shared" si="194"/>
        <v>次</v>
      </c>
      <c r="E610" s="1" t="str">
        <f t="shared" si="188"/>
        <v>治疗费(含材料费)</v>
      </c>
    </row>
    <row r="611" spans="1:5">
      <c r="A611" s="1" t="str">
        <f>"恒牙期安氏III类错固定矫治器治疗"</f>
        <v>恒牙期安氏III类错固定矫治器治疗</v>
      </c>
      <c r="B611" s="1">
        <v>14000</v>
      </c>
      <c r="C611" s="1" t="str">
        <f>"项"</f>
        <v>项</v>
      </c>
      <c r="D611" s="1" t="str">
        <f>"项"</f>
        <v>项</v>
      </c>
      <c r="E611" s="1" t="str">
        <f t="shared" si="188"/>
        <v>治疗费(含材料费)</v>
      </c>
    </row>
    <row r="612" spans="1:5">
      <c r="A612" s="1" t="str">
        <f>"恒牙期安氏III类错合固定矫治器治疗"</f>
        <v>恒牙期安氏III类错合固定矫治器治疗</v>
      </c>
      <c r="B612" s="1">
        <v>15000</v>
      </c>
      <c r="C612" s="1" t="str">
        <f t="shared" si="193"/>
        <v>次</v>
      </c>
      <c r="D612" s="1" t="str">
        <f t="shared" si="194"/>
        <v>次</v>
      </c>
      <c r="E612" s="1" t="str">
        <f t="shared" si="188"/>
        <v>治疗费(含材料费)</v>
      </c>
    </row>
    <row r="613" spans="1:5">
      <c r="A613" s="1" t="str">
        <f>"恒牙期骨性安氏III类错合固定矫治器拔牙治疗"</f>
        <v>恒牙期骨性安氏III类错合固定矫治器拔牙治疗</v>
      </c>
      <c r="B613" s="1">
        <v>15000</v>
      </c>
      <c r="C613" s="1" t="str">
        <f t="shared" si="193"/>
        <v>次</v>
      </c>
      <c r="D613" s="1" t="str">
        <f t="shared" si="194"/>
        <v>次</v>
      </c>
      <c r="E613" s="1" t="str">
        <f t="shared" si="188"/>
        <v>治疗费(含材料费)</v>
      </c>
    </row>
    <row r="614" spans="1:5">
      <c r="A614" s="1" t="str">
        <f>"肺通气功能检查"</f>
        <v>肺通气功能检查</v>
      </c>
      <c r="B614" s="1">
        <v>39</v>
      </c>
      <c r="C614" s="1" t="str">
        <f>"/"</f>
        <v>/</v>
      </c>
      <c r="D614" s="1" t="str">
        <f t="shared" si="194"/>
        <v>次</v>
      </c>
      <c r="E614" s="1" t="str">
        <f t="shared" ref="E614:E617" si="195">"检查费"</f>
        <v>检查费</v>
      </c>
    </row>
    <row r="615" spans="1:5">
      <c r="A615" s="1" t="str">
        <f>"肺通气功能检查(含最大通气量)"</f>
        <v>肺通气功能检查(含最大通气量)</v>
      </c>
      <c r="B615" s="1">
        <v>117</v>
      </c>
      <c r="C615" s="1" t="str">
        <f t="shared" ref="C615:C621" si="196">"次"</f>
        <v>次</v>
      </c>
      <c r="D615" s="1" t="str">
        <f t="shared" si="194"/>
        <v>次</v>
      </c>
      <c r="E615" s="1" t="str">
        <f t="shared" si="195"/>
        <v>检查费</v>
      </c>
    </row>
    <row r="616" spans="1:5">
      <c r="A616" s="1" t="str">
        <f>"流速容量曲线（V-V)"</f>
        <v>流速容量曲线（V-V)</v>
      </c>
      <c r="B616" s="1">
        <v>117</v>
      </c>
      <c r="C616" s="1" t="str">
        <f>"项"</f>
        <v>项</v>
      </c>
      <c r="D616" s="1" t="str">
        <f>"项"</f>
        <v>项</v>
      </c>
      <c r="E616" s="1" t="str">
        <f t="shared" si="195"/>
        <v>检查费</v>
      </c>
    </row>
    <row r="617" spans="1:5">
      <c r="A617" s="1" t="str">
        <f>"支气管舒张试验"</f>
        <v>支气管舒张试验</v>
      </c>
      <c r="B617" s="1">
        <v>104</v>
      </c>
      <c r="C617" s="1" t="str">
        <f>"项"</f>
        <v>项</v>
      </c>
      <c r="D617" s="1" t="str">
        <f>"项"</f>
        <v>项</v>
      </c>
      <c r="E617" s="1" t="str">
        <f t="shared" si="195"/>
        <v>检查费</v>
      </c>
    </row>
    <row r="618" spans="1:5">
      <c r="A618" s="1" t="str">
        <f>"睡眠呼吸监测过筛试验"</f>
        <v>睡眠呼吸监测过筛试验</v>
      </c>
      <c r="B618" s="1">
        <v>130</v>
      </c>
      <c r="C618" s="1" t="str">
        <f t="shared" si="196"/>
        <v>次</v>
      </c>
      <c r="D618" s="1" t="str">
        <f t="shared" ref="D618:D622" si="197">"次"</f>
        <v>次</v>
      </c>
      <c r="E618" s="1" t="str">
        <f>"治疗费"</f>
        <v>治疗费</v>
      </c>
    </row>
    <row r="619" spans="1:5">
      <c r="A619" s="1" t="str">
        <f>"常规心电图检查(单通道)"</f>
        <v>常规心电图检查(单通道)</v>
      </c>
      <c r="B619" s="1">
        <v>12</v>
      </c>
      <c r="C619" s="1" t="str">
        <f t="shared" si="196"/>
        <v>次</v>
      </c>
      <c r="D619" s="1" t="str">
        <f t="shared" si="197"/>
        <v>次</v>
      </c>
      <c r="E619" s="1" t="str">
        <f t="shared" ref="E619:E621" si="198">"心电图"</f>
        <v>心电图</v>
      </c>
    </row>
    <row r="620" spans="1:5">
      <c r="A620" s="1" t="str">
        <f>"常规心电图检查十二通道"</f>
        <v>常规心电图检查十二通道</v>
      </c>
      <c r="B620" s="1">
        <v>36</v>
      </c>
      <c r="C620" s="1" t="str">
        <f t="shared" si="196"/>
        <v>次</v>
      </c>
      <c r="D620" s="1" t="str">
        <f t="shared" si="197"/>
        <v>次</v>
      </c>
      <c r="E620" s="1" t="str">
        <f t="shared" si="198"/>
        <v>心电图</v>
      </c>
    </row>
    <row r="621" spans="1:5">
      <c r="A621" s="1" t="str">
        <f>"动态心电图"</f>
        <v>动态心电图</v>
      </c>
      <c r="B621" s="1">
        <v>192</v>
      </c>
      <c r="C621" s="1" t="str">
        <f t="shared" si="196"/>
        <v>次</v>
      </c>
      <c r="D621" s="1" t="str">
        <f t="shared" si="197"/>
        <v>次</v>
      </c>
      <c r="E621" s="1" t="str">
        <f t="shared" si="198"/>
        <v>心电图</v>
      </c>
    </row>
    <row r="622" spans="1:5">
      <c r="A622" s="1" t="str">
        <f>"心率变异性分析"</f>
        <v>心率变异性分析</v>
      </c>
      <c r="B622" s="1">
        <v>96</v>
      </c>
      <c r="C622" s="1" t="str">
        <f>"-"</f>
        <v>-</v>
      </c>
      <c r="D622" s="1" t="str">
        <f t="shared" si="197"/>
        <v>次</v>
      </c>
      <c r="E622" s="1" t="str">
        <f t="shared" ref="E622:E625" si="199">"检查费"</f>
        <v>检查费</v>
      </c>
    </row>
    <row r="623" spans="1:5">
      <c r="A623" s="1" t="str">
        <f>"动态血压监测"</f>
        <v>动态血压监测</v>
      </c>
      <c r="B623" s="1">
        <v>6</v>
      </c>
      <c r="C623" s="1" t="str">
        <f t="shared" ref="C623:C626" si="200">"小时"</f>
        <v>小时</v>
      </c>
      <c r="D623" s="1" t="str">
        <f t="shared" ref="D623:D626" si="201">"小时"</f>
        <v>小时</v>
      </c>
      <c r="E623" s="1" t="str">
        <f t="shared" si="199"/>
        <v>检查费</v>
      </c>
    </row>
    <row r="624" spans="1:5">
      <c r="A624" s="1" t="str">
        <f>"心电监测"</f>
        <v>心电监测</v>
      </c>
      <c r="B624" s="1">
        <v>6</v>
      </c>
      <c r="C624" s="1" t="str">
        <f t="shared" si="200"/>
        <v>小时</v>
      </c>
      <c r="D624" s="1" t="str">
        <f t="shared" si="201"/>
        <v>小时</v>
      </c>
      <c r="E624" s="1" t="str">
        <f t="shared" si="199"/>
        <v>检查费</v>
      </c>
    </row>
    <row r="625" spans="1:5">
      <c r="A625" s="1" t="str">
        <f>"指脉氧监测"</f>
        <v>指脉氧监测</v>
      </c>
      <c r="B625" s="1">
        <v>2</v>
      </c>
      <c r="C625" s="1" t="str">
        <f t="shared" si="200"/>
        <v>小时</v>
      </c>
      <c r="D625" s="1" t="str">
        <f t="shared" si="201"/>
        <v>小时</v>
      </c>
      <c r="E625" s="1" t="str">
        <f t="shared" si="199"/>
        <v>检查费</v>
      </c>
    </row>
    <row r="626" spans="1:5">
      <c r="A626" s="1" t="str">
        <f>"血氧饱和度监测"</f>
        <v>血氧饱和度监测</v>
      </c>
      <c r="B626" s="1">
        <v>2.4</v>
      </c>
      <c r="C626" s="1" t="str">
        <f t="shared" si="200"/>
        <v>小时</v>
      </c>
      <c r="D626" s="1" t="str">
        <f t="shared" si="201"/>
        <v>小时</v>
      </c>
      <c r="E626" s="1" t="str">
        <f>"治疗费"</f>
        <v>治疗费</v>
      </c>
    </row>
    <row r="627" spans="1:5">
      <c r="A627" s="1" t="str">
        <f>"电子纤维内镜加收"</f>
        <v>电子纤维内镜加收</v>
      </c>
      <c r="B627" s="1">
        <v>100</v>
      </c>
      <c r="C627" s="1" t="str">
        <f t="shared" ref="C627:C629" si="202">"次"</f>
        <v>次</v>
      </c>
      <c r="D627" s="1" t="str">
        <f t="shared" ref="D627:D629" si="203">"次"</f>
        <v>次</v>
      </c>
      <c r="E627" s="1" t="str">
        <f>"胃镜费"</f>
        <v>胃镜费</v>
      </c>
    </row>
    <row r="628" spans="1:5">
      <c r="A628" s="1" t="str">
        <f>"纤维食管镜检查"</f>
        <v>纤维食管镜检查</v>
      </c>
      <c r="B628" s="1">
        <v>65</v>
      </c>
      <c r="C628" s="1" t="str">
        <f t="shared" si="202"/>
        <v>次</v>
      </c>
      <c r="D628" s="1" t="str">
        <f t="shared" si="203"/>
        <v>次</v>
      </c>
      <c r="E628" s="1" t="str">
        <f>"检查费"</f>
        <v>检查费</v>
      </c>
    </row>
    <row r="629" spans="1:5">
      <c r="A629" s="1" t="str">
        <f>"纤维胃十二指肠镜检查"</f>
        <v>纤维胃十二指肠镜检查</v>
      </c>
      <c r="B629" s="1">
        <v>145</v>
      </c>
      <c r="C629" s="1" t="str">
        <f t="shared" si="202"/>
        <v>次</v>
      </c>
      <c r="D629" s="1" t="str">
        <f t="shared" si="203"/>
        <v>次</v>
      </c>
      <c r="E629" s="1" t="str">
        <f>"胃镜费"</f>
        <v>胃镜费</v>
      </c>
    </row>
    <row r="630" spans="1:5">
      <c r="A630" s="1" t="str">
        <f>"经胃镜特殊治疗（电凝电切法）"</f>
        <v>经胃镜特殊治疗（电凝电切法）</v>
      </c>
      <c r="B630" s="1">
        <v>283</v>
      </c>
      <c r="C630" s="1" t="str">
        <f>"次"</f>
        <v>次</v>
      </c>
      <c r="D630" s="1" t="str">
        <f>"次"</f>
        <v>次</v>
      </c>
      <c r="E630" s="1" t="str">
        <f>"胃镜费"</f>
        <v>胃镜费</v>
      </c>
    </row>
    <row r="631" spans="1:5">
      <c r="A631" s="1" t="str">
        <f>"经胃镜特殊治疗（从第二个肿物或出血点起，每增加一个肿物或出血点加收）"</f>
        <v>经胃镜特殊治疗（从第二个肿物或出血点起，每增加一个肿物或出血点加收）</v>
      </c>
      <c r="B631" s="1">
        <v>135</v>
      </c>
      <c r="C631" s="1" t="str">
        <f t="shared" ref="C631:C639" si="204">"次"</f>
        <v>次</v>
      </c>
      <c r="D631" s="1" t="str">
        <f t="shared" ref="D631:D639" si="205">"次"</f>
        <v>次</v>
      </c>
      <c r="E631" s="1" t="str">
        <f t="shared" ref="E631:E639" si="206">"治疗费"</f>
        <v>治疗费</v>
      </c>
    </row>
    <row r="632" spans="1:5">
      <c r="A632" s="1" t="str">
        <f>"纤维结肠镜检查"</f>
        <v>纤维结肠镜检查</v>
      </c>
      <c r="B632" s="1">
        <v>180</v>
      </c>
      <c r="C632" s="1" t="str">
        <f t="shared" si="204"/>
        <v>次</v>
      </c>
      <c r="D632" s="1" t="str">
        <f t="shared" si="205"/>
        <v>次</v>
      </c>
      <c r="E632" s="1" t="str">
        <f>"胃镜费"</f>
        <v>胃镜费</v>
      </c>
    </row>
    <row r="633" spans="1:5">
      <c r="A633" s="1" t="str">
        <f>"经肠镜特殊治疗电凝电切法"</f>
        <v>经肠镜特殊治疗电凝电切法</v>
      </c>
      <c r="B633" s="1">
        <v>390</v>
      </c>
      <c r="C633" s="1" t="str">
        <f t="shared" si="204"/>
        <v>次</v>
      </c>
      <c r="D633" s="1" t="str">
        <f t="shared" si="205"/>
        <v>次</v>
      </c>
      <c r="E633" s="1" t="str">
        <f>"胃镜费"</f>
        <v>胃镜费</v>
      </c>
    </row>
    <row r="634" spans="1:5">
      <c r="A634" s="1" t="str">
        <f>"经肠镜特殊治疗（从第二个肿物或出血点起，每增加一个肿物或出血点加收）"</f>
        <v>经肠镜特殊治疗（从第二个肿物或出血点起，每增加一个肿物或出血点加收）</v>
      </c>
      <c r="B634" s="1">
        <v>135</v>
      </c>
      <c r="C634" s="1" t="str">
        <f t="shared" si="204"/>
        <v>次</v>
      </c>
      <c r="D634" s="1" t="str">
        <f t="shared" si="205"/>
        <v>次</v>
      </c>
      <c r="E634" s="1" t="str">
        <f t="shared" si="206"/>
        <v>治疗费</v>
      </c>
    </row>
    <row r="635" spans="1:5">
      <c r="A635" s="1" t="str">
        <f>"肛门指检"</f>
        <v>肛门指检</v>
      </c>
      <c r="B635" s="1">
        <v>3.9</v>
      </c>
      <c r="C635" s="1" t="str">
        <f t="shared" si="204"/>
        <v>次</v>
      </c>
      <c r="D635" s="1" t="str">
        <f t="shared" si="205"/>
        <v>次</v>
      </c>
      <c r="E635" s="1" t="str">
        <f>"检查费"</f>
        <v>检查费</v>
      </c>
    </row>
    <row r="636" spans="1:5">
      <c r="A636" s="1" t="str">
        <f>"盆底表面肌电评估"</f>
        <v>盆底表面肌电评估</v>
      </c>
      <c r="B636" s="1">
        <v>90</v>
      </c>
      <c r="C636" s="1" t="str">
        <f t="shared" si="204"/>
        <v>次</v>
      </c>
      <c r="D636" s="1" t="str">
        <f t="shared" si="205"/>
        <v>次</v>
      </c>
      <c r="E636" s="1" t="str">
        <f t="shared" si="206"/>
        <v>治疗费</v>
      </c>
    </row>
    <row r="637" spans="1:5">
      <c r="A637" s="1" t="str">
        <f>"膀胱灌注"</f>
        <v>膀胱灌注</v>
      </c>
      <c r="B637" s="1">
        <v>20</v>
      </c>
      <c r="C637" s="1" t="str">
        <f t="shared" si="204"/>
        <v>次</v>
      </c>
      <c r="D637" s="1" t="str">
        <f t="shared" si="205"/>
        <v>次</v>
      </c>
      <c r="E637" s="1" t="str">
        <f t="shared" si="206"/>
        <v>治疗费</v>
      </c>
    </row>
    <row r="638" spans="1:5">
      <c r="A638" s="1" t="str">
        <f>"嵌顿包茎手法复位术"</f>
        <v>嵌顿包茎手法复位术</v>
      </c>
      <c r="B638" s="1">
        <v>78</v>
      </c>
      <c r="C638" s="1" t="str">
        <f t="shared" si="204"/>
        <v>次</v>
      </c>
      <c r="D638" s="1" t="str">
        <f t="shared" si="205"/>
        <v>次</v>
      </c>
      <c r="E638" s="1" t="str">
        <f t="shared" si="206"/>
        <v>治疗费</v>
      </c>
    </row>
    <row r="639" spans="1:5">
      <c r="A639" s="1" t="str">
        <f>"前列腺按摩"</f>
        <v>前列腺按摩</v>
      </c>
      <c r="B639" s="1">
        <v>26</v>
      </c>
      <c r="C639" s="1" t="str">
        <f t="shared" si="204"/>
        <v>次</v>
      </c>
      <c r="D639" s="1" t="str">
        <f t="shared" si="205"/>
        <v>次</v>
      </c>
      <c r="E639" s="1" t="str">
        <f t="shared" si="206"/>
        <v>治疗费</v>
      </c>
    </row>
    <row r="640" spans="1:5">
      <c r="A640" s="1" t="str">
        <f>"电子阴道镜加收"</f>
        <v>电子阴道镜加收</v>
      </c>
      <c r="B640" s="1">
        <v>100</v>
      </c>
      <c r="C640" s="1" t="str">
        <f t="shared" ref="C640:C653" si="207">"次"</f>
        <v>次</v>
      </c>
      <c r="D640" s="1" t="str">
        <f t="shared" ref="D640:D653" si="208">"次"</f>
        <v>次</v>
      </c>
      <c r="E640" s="1" t="str">
        <f t="shared" ref="E640:E647" si="209">"治疗费"</f>
        <v>治疗费</v>
      </c>
    </row>
    <row r="641" spans="1:5">
      <c r="A641" s="1" t="str">
        <f>"外阴活检术"</f>
        <v>外阴活检术</v>
      </c>
      <c r="B641" s="1">
        <v>26</v>
      </c>
      <c r="C641" s="1" t="str">
        <f>"-"</f>
        <v>-</v>
      </c>
      <c r="D641" s="1" t="str">
        <f t="shared" si="208"/>
        <v>次</v>
      </c>
      <c r="E641" s="1" t="str">
        <f t="shared" si="209"/>
        <v>治疗费</v>
      </c>
    </row>
    <row r="642" spans="1:5">
      <c r="A642" s="1" t="str">
        <f>"外阴病光照射治疗"</f>
        <v>外阴病光照射治疗</v>
      </c>
      <c r="B642" s="1">
        <v>13</v>
      </c>
      <c r="C642" s="1" t="str">
        <f t="shared" si="207"/>
        <v>次</v>
      </c>
      <c r="D642" s="1" t="str">
        <f t="shared" si="208"/>
        <v>次</v>
      </c>
      <c r="E642" s="1" t="str">
        <f t="shared" si="209"/>
        <v>治疗费</v>
      </c>
    </row>
    <row r="643" spans="1:5">
      <c r="A643" s="1" t="str">
        <f>"阴道镜检查"</f>
        <v>阴道镜检查</v>
      </c>
      <c r="B643" s="1">
        <v>13</v>
      </c>
      <c r="C643" s="1" t="str">
        <f t="shared" si="207"/>
        <v>次</v>
      </c>
      <c r="D643" s="1" t="str">
        <f t="shared" si="208"/>
        <v>次</v>
      </c>
      <c r="E643" s="1" t="str">
        <f t="shared" si="209"/>
        <v>治疗费</v>
      </c>
    </row>
    <row r="644" spans="1:5">
      <c r="A644" s="1" t="str">
        <f>"阴道填塞"</f>
        <v>阴道填塞</v>
      </c>
      <c r="B644" s="1">
        <v>39</v>
      </c>
      <c r="C644" s="1" t="str">
        <f t="shared" si="207"/>
        <v>次</v>
      </c>
      <c r="D644" s="1" t="str">
        <f t="shared" si="208"/>
        <v>次</v>
      </c>
      <c r="E644" s="1" t="str">
        <f t="shared" si="209"/>
        <v>治疗费</v>
      </c>
    </row>
    <row r="645" spans="1:5">
      <c r="A645" s="1" t="str">
        <f>"阴道灌洗上药"</f>
        <v>阴道灌洗上药</v>
      </c>
      <c r="B645" s="1">
        <v>10</v>
      </c>
      <c r="C645" s="1" t="str">
        <f t="shared" si="207"/>
        <v>次</v>
      </c>
      <c r="D645" s="1" t="str">
        <f t="shared" si="208"/>
        <v>次</v>
      </c>
      <c r="E645" s="1" t="str">
        <f t="shared" si="209"/>
        <v>治疗费</v>
      </c>
    </row>
    <row r="646" spans="1:5">
      <c r="A646" s="1" t="str">
        <f>"宫颈活检术"</f>
        <v>宫颈活检术</v>
      </c>
      <c r="B646" s="1">
        <v>39</v>
      </c>
      <c r="C646" s="1" t="str">
        <f t="shared" si="207"/>
        <v>次</v>
      </c>
      <c r="D646" s="1" t="str">
        <f t="shared" si="208"/>
        <v>次</v>
      </c>
      <c r="E646" s="1" t="str">
        <f t="shared" si="209"/>
        <v>治疗费</v>
      </c>
    </row>
    <row r="647" spans="1:5">
      <c r="A647" s="1" t="str">
        <f>"宫颈上药"</f>
        <v>宫颈上药</v>
      </c>
      <c r="B647" s="1">
        <v>13</v>
      </c>
      <c r="C647" s="1" t="str">
        <f t="shared" si="207"/>
        <v>次</v>
      </c>
      <c r="D647" s="1" t="str">
        <f t="shared" si="208"/>
        <v>次</v>
      </c>
      <c r="E647" s="1" t="str">
        <f t="shared" si="209"/>
        <v>治疗费</v>
      </c>
    </row>
    <row r="648" spans="1:5">
      <c r="A648" s="1" t="str">
        <f>"宫颈扩张术"</f>
        <v>宫颈扩张术</v>
      </c>
      <c r="B648" s="1">
        <v>39</v>
      </c>
      <c r="C648" s="1" t="str">
        <f t="shared" si="207"/>
        <v>次</v>
      </c>
      <c r="D648" s="1" t="str">
        <f t="shared" si="208"/>
        <v>次</v>
      </c>
      <c r="E648" s="1" t="str">
        <f t="shared" ref="E648:E652" si="210">"手术费"</f>
        <v>手术费</v>
      </c>
    </row>
    <row r="649" spans="1:5">
      <c r="A649" s="1" t="str">
        <f>"宫颈内口探查术"</f>
        <v>宫颈内口探查术</v>
      </c>
      <c r="B649" s="1">
        <v>52</v>
      </c>
      <c r="C649" s="1" t="str">
        <f t="shared" si="207"/>
        <v>次</v>
      </c>
      <c r="D649" s="1" t="str">
        <f t="shared" si="208"/>
        <v>次</v>
      </c>
      <c r="E649" s="1" t="str">
        <f t="shared" si="210"/>
        <v>手术费</v>
      </c>
    </row>
    <row r="650" spans="1:5">
      <c r="A650" s="1" t="str">
        <f>"子宫托治疗"</f>
        <v>子宫托治疗</v>
      </c>
      <c r="B650" s="1">
        <v>52</v>
      </c>
      <c r="C650" s="1" t="str">
        <f t="shared" si="207"/>
        <v>次</v>
      </c>
      <c r="D650" s="1" t="str">
        <f t="shared" si="208"/>
        <v>次</v>
      </c>
      <c r="E650" s="1" t="str">
        <f t="shared" ref="E650:E654" si="211">"治疗费"</f>
        <v>治疗费</v>
      </c>
    </row>
    <row r="651" spans="1:5">
      <c r="A651" s="1" t="str">
        <f>"宫腔吸片"</f>
        <v>宫腔吸片</v>
      </c>
      <c r="B651" s="1">
        <v>78</v>
      </c>
      <c r="C651" s="1" t="str">
        <f t="shared" si="207"/>
        <v>次</v>
      </c>
      <c r="D651" s="1" t="str">
        <f t="shared" si="208"/>
        <v>次</v>
      </c>
      <c r="E651" s="1" t="str">
        <f t="shared" si="211"/>
        <v>治疗费</v>
      </c>
    </row>
    <row r="652" spans="1:5">
      <c r="A652" s="1" t="str">
        <f>"宫腔粘连分离术"</f>
        <v>宫腔粘连分离术</v>
      </c>
      <c r="B652" s="1">
        <v>52</v>
      </c>
      <c r="C652" s="1" t="str">
        <f t="shared" si="207"/>
        <v>次</v>
      </c>
      <c r="D652" s="1" t="str">
        <f t="shared" si="208"/>
        <v>次</v>
      </c>
      <c r="E652" s="1" t="str">
        <f t="shared" si="210"/>
        <v>手术费</v>
      </c>
    </row>
    <row r="653" spans="1:5">
      <c r="A653" s="1" t="str">
        <f>"宫腔填塞"</f>
        <v>宫腔填塞</v>
      </c>
      <c r="B653" s="1">
        <v>65</v>
      </c>
      <c r="C653" s="1" t="str">
        <f t="shared" si="207"/>
        <v>次</v>
      </c>
      <c r="D653" s="1" t="str">
        <f t="shared" si="208"/>
        <v>次</v>
      </c>
      <c r="E653" s="1" t="str">
        <f t="shared" si="211"/>
        <v>治疗费</v>
      </c>
    </row>
    <row r="654" spans="1:5">
      <c r="A654" s="1" t="str">
        <f>"妇科特殊治疗"</f>
        <v>妇科特殊治疗</v>
      </c>
      <c r="B654" s="1">
        <v>26</v>
      </c>
      <c r="C654" s="1" t="str">
        <f>"每个部位"</f>
        <v>每个部位</v>
      </c>
      <c r="D654" s="1" t="str">
        <f>"每个部位"</f>
        <v>每个部位</v>
      </c>
      <c r="E654" s="1" t="str">
        <f t="shared" si="211"/>
        <v>治疗费</v>
      </c>
    </row>
    <row r="655" spans="1:5">
      <c r="A655" s="1" t="str">
        <f>"腹腔穿刺插管盆腔滴注术"</f>
        <v>腹腔穿刺插管盆腔滴注术</v>
      </c>
      <c r="B655" s="1">
        <v>52</v>
      </c>
      <c r="C655" s="1" t="str">
        <f t="shared" ref="C655:C660" si="212">"次"</f>
        <v>次</v>
      </c>
      <c r="D655" s="1" t="str">
        <f t="shared" ref="D655:D660" si="213">"次"</f>
        <v>次</v>
      </c>
      <c r="E655" s="1" t="str">
        <f t="shared" ref="E655:E659" si="214">"治疗费"</f>
        <v>治疗费</v>
      </c>
    </row>
    <row r="656" spans="1:5">
      <c r="A656" s="1" t="str">
        <f>"产前检查"</f>
        <v>产前检查</v>
      </c>
      <c r="B656" s="1">
        <v>10</v>
      </c>
      <c r="C656" s="1" t="str">
        <f t="shared" si="212"/>
        <v>次</v>
      </c>
      <c r="D656" s="1" t="str">
        <f t="shared" si="213"/>
        <v>次</v>
      </c>
      <c r="E656" s="1" t="str">
        <f>"检查费"</f>
        <v>检查费</v>
      </c>
    </row>
    <row r="657" spans="1:5">
      <c r="A657" s="1" t="str">
        <f>"胎心监测"</f>
        <v>胎心监测</v>
      </c>
      <c r="B657" s="1">
        <v>26</v>
      </c>
      <c r="C657" s="1" t="str">
        <f t="shared" si="212"/>
        <v>次</v>
      </c>
      <c r="D657" s="1" t="str">
        <f t="shared" si="213"/>
        <v>次</v>
      </c>
      <c r="E657" s="1" t="str">
        <f>"检查费"</f>
        <v>检查费</v>
      </c>
    </row>
    <row r="658" spans="1:5">
      <c r="A658" s="1" t="str">
        <f>"羊膜腔穿刺术"</f>
        <v>羊膜腔穿刺术</v>
      </c>
      <c r="B658" s="1">
        <v>85</v>
      </c>
      <c r="C658" s="1" t="str">
        <f t="shared" si="212"/>
        <v>次</v>
      </c>
      <c r="D658" s="1" t="str">
        <f t="shared" si="213"/>
        <v>次</v>
      </c>
      <c r="E658" s="1" t="str">
        <f t="shared" si="214"/>
        <v>治疗费</v>
      </c>
    </row>
    <row r="659" spans="1:5">
      <c r="A659" s="1" t="str">
        <f>"输卵管绝育术"</f>
        <v>输卵管绝育术</v>
      </c>
      <c r="B659" s="1">
        <v>78</v>
      </c>
      <c r="C659" s="1" t="str">
        <f t="shared" si="212"/>
        <v>次</v>
      </c>
      <c r="D659" s="1" t="str">
        <f t="shared" si="213"/>
        <v>次</v>
      </c>
      <c r="E659" s="1" t="str">
        <f t="shared" si="214"/>
        <v>治疗费</v>
      </c>
    </row>
    <row r="660" spans="1:5">
      <c r="A660" s="1" t="str">
        <f>"宫内节育器放置术"</f>
        <v>宫内节育器放置术</v>
      </c>
      <c r="B660" s="1">
        <v>180</v>
      </c>
      <c r="C660" s="1" t="str">
        <f t="shared" si="212"/>
        <v>次</v>
      </c>
      <c r="D660" s="1" t="str">
        <f t="shared" si="213"/>
        <v>次</v>
      </c>
      <c r="E660" s="1" t="str">
        <f>"手术费"</f>
        <v>手术费</v>
      </c>
    </row>
    <row r="661" spans="1:5">
      <c r="A661" s="1" t="str">
        <f>"宫内节育器取出术"</f>
        <v>宫内节育器取出术</v>
      </c>
      <c r="B661" s="1">
        <v>180</v>
      </c>
      <c r="C661" s="1">
        <v>1</v>
      </c>
      <c r="D661" s="1" t="str">
        <f t="shared" ref="D661:D671" si="215">"次"</f>
        <v>次</v>
      </c>
      <c r="E661" s="1" t="str">
        <f>"手术费"</f>
        <v>手术费</v>
      </c>
    </row>
    <row r="662" spans="1:5">
      <c r="A662" s="1" t="str">
        <f>"避孕药皮下埋植术"</f>
        <v>避孕药皮下埋植术</v>
      </c>
      <c r="B662" s="1">
        <v>130</v>
      </c>
      <c r="C662" s="1" t="str">
        <f t="shared" ref="C662:C671" si="216">"次"</f>
        <v>次</v>
      </c>
      <c r="D662" s="1" t="str">
        <f t="shared" si="215"/>
        <v>次</v>
      </c>
      <c r="E662" s="1" t="str">
        <f t="shared" ref="E662:E666" si="217">"治疗费"</f>
        <v>治疗费</v>
      </c>
    </row>
    <row r="663" spans="1:5">
      <c r="A663" s="1" t="str">
        <f>"皮下避孕药取出术"</f>
        <v>皮下避孕药取出术</v>
      </c>
      <c r="B663" s="1">
        <v>130</v>
      </c>
      <c r="C663" s="1">
        <v>1</v>
      </c>
      <c r="D663" s="1" t="str">
        <f t="shared" si="215"/>
        <v>次</v>
      </c>
      <c r="E663" s="1" t="str">
        <f t="shared" si="217"/>
        <v>治疗费</v>
      </c>
    </row>
    <row r="664" spans="1:5">
      <c r="A664" s="1" t="str">
        <f>"刮宫术"</f>
        <v>刮宫术</v>
      </c>
      <c r="B664" s="1">
        <v>210</v>
      </c>
      <c r="C664" s="1" t="str">
        <f t="shared" si="216"/>
        <v>次</v>
      </c>
      <c r="D664" s="1" t="str">
        <f t="shared" si="215"/>
        <v>次</v>
      </c>
      <c r="E664" s="1" t="str">
        <f>"手术费"</f>
        <v>手术费</v>
      </c>
    </row>
    <row r="665" spans="1:5">
      <c r="A665" s="1" t="str">
        <f>"产后刮宫术"</f>
        <v>产后刮宫术</v>
      </c>
      <c r="B665" s="1">
        <v>210</v>
      </c>
      <c r="C665" s="1" t="str">
        <f t="shared" si="216"/>
        <v>次</v>
      </c>
      <c r="D665" s="1" t="str">
        <f t="shared" si="215"/>
        <v>次</v>
      </c>
      <c r="E665" s="1" t="str">
        <f t="shared" si="217"/>
        <v>治疗费</v>
      </c>
    </row>
    <row r="666" spans="1:5">
      <c r="A666" s="1" t="str">
        <f>"葡萄胎刮宫术"</f>
        <v>葡萄胎刮宫术</v>
      </c>
      <c r="B666" s="1">
        <v>260</v>
      </c>
      <c r="C666" s="1" t="str">
        <f t="shared" si="216"/>
        <v>次</v>
      </c>
      <c r="D666" s="1" t="str">
        <f t="shared" si="215"/>
        <v>次</v>
      </c>
      <c r="E666" s="1" t="str">
        <f t="shared" si="217"/>
        <v>治疗费</v>
      </c>
    </row>
    <row r="667" spans="1:5">
      <c r="A667" s="1" t="str">
        <f>"人工流产术"</f>
        <v>人工流产术</v>
      </c>
      <c r="B667" s="1">
        <v>320</v>
      </c>
      <c r="C667" s="1" t="str">
        <f t="shared" si="216"/>
        <v>次</v>
      </c>
      <c r="D667" s="1" t="str">
        <f t="shared" si="215"/>
        <v>次</v>
      </c>
      <c r="E667" s="1" t="str">
        <f>"手术费"</f>
        <v>手术费</v>
      </c>
    </row>
    <row r="668" spans="1:5">
      <c r="A668" s="1" t="str">
        <f>"子宫内水囊引产术"</f>
        <v>子宫内水囊引产术</v>
      </c>
      <c r="B668" s="1">
        <v>156</v>
      </c>
      <c r="C668" s="1" t="str">
        <f t="shared" si="216"/>
        <v>次</v>
      </c>
      <c r="D668" s="1" t="str">
        <f t="shared" si="215"/>
        <v>次</v>
      </c>
      <c r="E668" s="1" t="str">
        <f t="shared" ref="E668:E671" si="218">"治疗费"</f>
        <v>治疗费</v>
      </c>
    </row>
    <row r="669" spans="1:5">
      <c r="A669" s="1" t="str">
        <f>"催产素滴注引产术"</f>
        <v>催产素滴注引产术</v>
      </c>
      <c r="B669" s="1">
        <v>104</v>
      </c>
      <c r="C669" s="1" t="str">
        <f t="shared" si="216"/>
        <v>次</v>
      </c>
      <c r="D669" s="1" t="str">
        <f t="shared" si="215"/>
        <v>次</v>
      </c>
      <c r="E669" s="1" t="str">
        <f t="shared" si="218"/>
        <v>治疗费</v>
      </c>
    </row>
    <row r="670" spans="1:5">
      <c r="A670" s="1" t="str">
        <f>"药物性引产处置术"</f>
        <v>药物性引产处置术</v>
      </c>
      <c r="B670" s="1">
        <v>104</v>
      </c>
      <c r="C670" s="1" t="str">
        <f t="shared" si="216"/>
        <v>次</v>
      </c>
      <c r="D670" s="1" t="str">
        <f t="shared" si="215"/>
        <v>次</v>
      </c>
      <c r="E670" s="1" t="str">
        <f t="shared" si="218"/>
        <v>治疗费</v>
      </c>
    </row>
    <row r="671" spans="1:5">
      <c r="A671" s="1" t="str">
        <f>"乳房按摩"</f>
        <v>乳房按摩</v>
      </c>
      <c r="B671" s="1">
        <v>6.5</v>
      </c>
      <c r="C671" s="1" t="str">
        <f t="shared" si="216"/>
        <v>次</v>
      </c>
      <c r="D671" s="1" t="str">
        <f t="shared" si="215"/>
        <v>次</v>
      </c>
      <c r="E671" s="1" t="str">
        <f t="shared" si="218"/>
        <v>治疗费</v>
      </c>
    </row>
    <row r="672" spans="1:5">
      <c r="A672" s="1" t="str">
        <f>"新生儿经皮胆红素测定（头部）"</f>
        <v>新生儿经皮胆红素测定（头部）</v>
      </c>
      <c r="B672" s="1">
        <v>6.5</v>
      </c>
      <c r="C672" s="1" t="str">
        <f>"每次"</f>
        <v>每次</v>
      </c>
      <c r="D672" s="1" t="str">
        <f>"每次"</f>
        <v>每次</v>
      </c>
      <c r="E672" s="1" t="str">
        <f t="shared" ref="E672:E674" si="219">"检查费"</f>
        <v>检查费</v>
      </c>
    </row>
    <row r="673" spans="1:5">
      <c r="A673" s="1" t="str">
        <f>"新生儿经皮胆红素测定（胸部）"</f>
        <v>新生儿经皮胆红素测定（胸部）</v>
      </c>
      <c r="B673" s="1">
        <v>6.5</v>
      </c>
      <c r="C673" s="1" t="str">
        <f>"每个部位"</f>
        <v>每个部位</v>
      </c>
      <c r="D673" s="1" t="str">
        <f>"每个部位"</f>
        <v>每个部位</v>
      </c>
      <c r="E673" s="1" t="str">
        <f t="shared" si="219"/>
        <v>检查费</v>
      </c>
    </row>
    <row r="674" spans="1:5">
      <c r="A674" s="1" t="str">
        <f>"新生儿经皮胆红素测定（腿部）"</f>
        <v>新生儿经皮胆红素测定（腿部）</v>
      </c>
      <c r="B674" s="1">
        <v>6.5</v>
      </c>
      <c r="C674" s="1" t="str">
        <f>"每个 部位"</f>
        <v>每个 部位</v>
      </c>
      <c r="D674" s="1" t="str">
        <f>"每个 部位"</f>
        <v>每个 部位</v>
      </c>
      <c r="E674" s="1" t="str">
        <f t="shared" si="219"/>
        <v>检查费</v>
      </c>
    </row>
    <row r="675" spans="1:5">
      <c r="A675" s="1" t="str">
        <f>"软组织内封闭术"</f>
        <v>软组织内封闭术</v>
      </c>
      <c r="B675" s="1">
        <v>33</v>
      </c>
      <c r="C675" s="1" t="str">
        <f t="shared" ref="C675:C688" si="220">"次"</f>
        <v>次</v>
      </c>
      <c r="D675" s="1" t="str">
        <f t="shared" ref="D675:D680" si="221">"次"</f>
        <v>次</v>
      </c>
      <c r="E675" s="1" t="str">
        <f t="shared" ref="E675:E682" si="222">"治疗费"</f>
        <v>治疗费</v>
      </c>
    </row>
    <row r="676" spans="1:5">
      <c r="A676" s="1" t="str">
        <f>"神经根封闭术"</f>
        <v>神经根封闭术</v>
      </c>
      <c r="B676" s="1">
        <v>52</v>
      </c>
      <c r="C676" s="1" t="str">
        <f t="shared" si="220"/>
        <v>次</v>
      </c>
      <c r="D676" s="1" t="str">
        <f t="shared" si="221"/>
        <v>次</v>
      </c>
      <c r="E676" s="1" t="str">
        <f t="shared" si="222"/>
        <v>治疗费</v>
      </c>
    </row>
    <row r="677" spans="1:5">
      <c r="A677" s="1" t="str">
        <f>"周围神经封闭术"</f>
        <v>周围神经封闭术</v>
      </c>
      <c r="B677" s="1">
        <v>33</v>
      </c>
      <c r="C677" s="1" t="str">
        <f t="shared" si="220"/>
        <v>次</v>
      </c>
      <c r="D677" s="1" t="str">
        <f t="shared" si="221"/>
        <v>次</v>
      </c>
      <c r="E677" s="1" t="str">
        <f t="shared" si="222"/>
        <v>治疗费</v>
      </c>
    </row>
    <row r="678" spans="1:5">
      <c r="A678" s="1" t="str">
        <f>"神经丛封闭术"</f>
        <v>神经丛封闭术</v>
      </c>
      <c r="B678" s="1">
        <v>46</v>
      </c>
      <c r="C678" s="1" t="str">
        <f t="shared" si="220"/>
        <v>次</v>
      </c>
      <c r="D678" s="1" t="str">
        <f t="shared" si="221"/>
        <v>次</v>
      </c>
      <c r="E678" s="1" t="str">
        <f t="shared" si="222"/>
        <v>治疗费</v>
      </c>
    </row>
    <row r="679" spans="1:5">
      <c r="A679" s="1" t="str">
        <f>"性病检查"</f>
        <v>性病检查</v>
      </c>
      <c r="B679" s="1">
        <v>20</v>
      </c>
      <c r="C679" s="1" t="str">
        <f t="shared" si="220"/>
        <v>次</v>
      </c>
      <c r="D679" s="1" t="str">
        <f t="shared" si="221"/>
        <v>次</v>
      </c>
      <c r="E679" s="1" t="str">
        <f t="shared" si="222"/>
        <v>治疗费</v>
      </c>
    </row>
    <row r="680" spans="1:5">
      <c r="A680" s="1" t="str">
        <f>"皮肤活检术"</f>
        <v>皮肤活检术</v>
      </c>
      <c r="B680" s="1">
        <v>39</v>
      </c>
      <c r="C680" s="1" t="str">
        <f t="shared" si="220"/>
        <v>次</v>
      </c>
      <c r="D680" s="1" t="str">
        <f t="shared" si="221"/>
        <v>次</v>
      </c>
      <c r="E680" s="1" t="str">
        <f t="shared" si="222"/>
        <v>治疗费</v>
      </c>
    </row>
    <row r="681" spans="1:5">
      <c r="A681" s="1" t="str">
        <f>"刮疣治疗"</f>
        <v>刮疣治疗</v>
      </c>
      <c r="B681" s="1">
        <v>7.5</v>
      </c>
      <c r="C681" s="1" t="str">
        <f t="shared" si="220"/>
        <v>次</v>
      </c>
      <c r="D681" s="1" t="str">
        <f>"每个"</f>
        <v>每个</v>
      </c>
      <c r="E681" s="1" t="str">
        <f t="shared" si="222"/>
        <v>治疗费</v>
      </c>
    </row>
    <row r="682" spans="1:5">
      <c r="A682" s="1" t="str">
        <f>"拔甲治疗"</f>
        <v>拔甲治疗</v>
      </c>
      <c r="B682" s="1">
        <v>38</v>
      </c>
      <c r="C682" s="1" t="str">
        <f t="shared" si="220"/>
        <v>次</v>
      </c>
      <c r="D682" s="1" t="str">
        <f t="shared" ref="D682:D688" si="223">"次"</f>
        <v>次</v>
      </c>
      <c r="E682" s="1" t="str">
        <f t="shared" si="222"/>
        <v>治疗费</v>
      </c>
    </row>
    <row r="683" spans="1:5">
      <c r="A683" s="1" t="str">
        <f>"皮肤溃疡清创术"</f>
        <v>皮肤溃疡清创术</v>
      </c>
      <c r="B683" s="1">
        <v>15</v>
      </c>
      <c r="C683" s="1" t="str">
        <f t="shared" si="220"/>
        <v>次</v>
      </c>
      <c r="D683" s="1" t="str">
        <f>"每创面"</f>
        <v>每创面</v>
      </c>
      <c r="E683" s="1" t="str">
        <f t="shared" ref="E683:E688" si="224">"手术费"</f>
        <v>手术费</v>
      </c>
    </row>
    <row r="684" spans="1:5">
      <c r="A684" s="1" t="str">
        <f>"鸡眼刮除术"</f>
        <v>鸡眼刮除术</v>
      </c>
      <c r="B684" s="1">
        <v>26</v>
      </c>
      <c r="C684" s="1" t="str">
        <f t="shared" si="220"/>
        <v>次</v>
      </c>
      <c r="D684" s="1" t="str">
        <f>"每个"</f>
        <v>每个</v>
      </c>
      <c r="E684" s="1" t="str">
        <f t="shared" ref="E684:E690" si="225">"治疗费"</f>
        <v>治疗费</v>
      </c>
    </row>
    <row r="685" spans="1:5">
      <c r="A685" s="1" t="str">
        <f>"二氧化碳(CO2)激光治疗"</f>
        <v>二氧化碳(CO2)激光治疗</v>
      </c>
      <c r="B685" s="1">
        <v>26</v>
      </c>
      <c r="C685" s="1" t="str">
        <f t="shared" si="220"/>
        <v>次</v>
      </c>
      <c r="D685" s="1" t="str">
        <f>"每个 皮损"</f>
        <v>每个 皮损</v>
      </c>
      <c r="E685" s="1" t="str">
        <f t="shared" si="225"/>
        <v>治疗费</v>
      </c>
    </row>
    <row r="686" spans="1:5">
      <c r="A686" s="1" t="str">
        <f>"烧伤冲洗清创术(大)"</f>
        <v>烧伤冲洗清创术(大)</v>
      </c>
      <c r="B686" s="1">
        <v>325</v>
      </c>
      <c r="C686" s="1" t="str">
        <f t="shared" si="220"/>
        <v>次</v>
      </c>
      <c r="D686" s="1" t="str">
        <f t="shared" si="223"/>
        <v>次</v>
      </c>
      <c r="E686" s="1" t="str">
        <f t="shared" si="224"/>
        <v>手术费</v>
      </c>
    </row>
    <row r="687" spans="1:5">
      <c r="A687" s="1" t="str">
        <f>"烧伤冲洗清创术(中)"</f>
        <v>烧伤冲洗清创术(中)</v>
      </c>
      <c r="B687" s="1">
        <v>195</v>
      </c>
      <c r="C687" s="1" t="str">
        <f t="shared" si="220"/>
        <v>次</v>
      </c>
      <c r="D687" s="1" t="str">
        <f t="shared" si="223"/>
        <v>次</v>
      </c>
      <c r="E687" s="1" t="str">
        <f t="shared" si="224"/>
        <v>手术费</v>
      </c>
    </row>
    <row r="688" spans="1:5">
      <c r="A688" s="1" t="str">
        <f>"烧伤冲洗清创术(小)"</f>
        <v>烧伤冲洗清创术(小)</v>
      </c>
      <c r="B688" s="1">
        <v>130</v>
      </c>
      <c r="C688" s="1" t="str">
        <f t="shared" si="220"/>
        <v>次</v>
      </c>
      <c r="D688" s="1" t="str">
        <f t="shared" si="223"/>
        <v>次</v>
      </c>
      <c r="E688" s="1" t="str">
        <f t="shared" si="224"/>
        <v>手术费</v>
      </c>
    </row>
    <row r="689" spans="1:5">
      <c r="A689" s="1" t="str">
        <f>"护架烤灯"</f>
        <v>护架烤灯</v>
      </c>
      <c r="B689" s="1">
        <v>5.2</v>
      </c>
      <c r="C689" s="1" t="str">
        <f>"千瓦时"</f>
        <v>千瓦时</v>
      </c>
      <c r="D689" s="1" t="str">
        <f>"千瓦时"</f>
        <v>千瓦时</v>
      </c>
      <c r="E689" s="1" t="str">
        <f t="shared" si="225"/>
        <v>治疗费</v>
      </c>
    </row>
    <row r="690" spans="1:5">
      <c r="A690" s="1" t="str">
        <f>"烧伤换药"</f>
        <v>烧伤换药</v>
      </c>
      <c r="B690" s="1">
        <v>28</v>
      </c>
      <c r="C690" s="1" t="str">
        <f>"1%体表面"</f>
        <v>1%体表面</v>
      </c>
      <c r="D690" s="1" t="str">
        <f>"1%体表面"</f>
        <v>1%体表面</v>
      </c>
      <c r="E690" s="1" t="str">
        <f t="shared" si="225"/>
        <v>治疗费</v>
      </c>
    </row>
    <row r="691" spans="1:5">
      <c r="A691" s="1" t="str">
        <f>"9条目患者健康问卷（PHQ-9）"</f>
        <v>9条目患者健康问卷（PHQ-9）</v>
      </c>
      <c r="B691" s="1">
        <v>15</v>
      </c>
      <c r="C691" s="1" t="str">
        <f t="shared" ref="C691:C696" si="226">"次"</f>
        <v>次</v>
      </c>
      <c r="D691" s="1" t="str">
        <f t="shared" ref="D691:D696" si="227">"次"</f>
        <v>次</v>
      </c>
      <c r="E691" s="1" t="str">
        <f t="shared" ref="E691:E693" si="228">"检查费"</f>
        <v>检查费</v>
      </c>
    </row>
    <row r="692" spans="1:5">
      <c r="A692" s="1" t="str">
        <f>"儿童发育量表"</f>
        <v>儿童发育量表</v>
      </c>
      <c r="B692" s="1">
        <v>75</v>
      </c>
      <c r="C692" s="1" t="str">
        <f t="shared" si="226"/>
        <v>次</v>
      </c>
      <c r="D692" s="1" t="str">
        <f t="shared" si="227"/>
        <v>次</v>
      </c>
      <c r="E692" s="1" t="str">
        <f t="shared" si="228"/>
        <v>检查费</v>
      </c>
    </row>
    <row r="693" spans="1:5">
      <c r="A693" s="1" t="str">
        <f>"儿童发育评估量表"</f>
        <v>儿童发育评估量表</v>
      </c>
      <c r="B693" s="1">
        <v>65</v>
      </c>
      <c r="C693" s="1" t="str">
        <f>"项"</f>
        <v>项</v>
      </c>
      <c r="D693" s="1" t="str">
        <f>"项"</f>
        <v>项</v>
      </c>
      <c r="E693" s="1" t="str">
        <f t="shared" si="228"/>
        <v>检查费</v>
      </c>
    </row>
    <row r="694" spans="1:5">
      <c r="A694" s="1" t="str">
        <f>"胰岛素低血糖和休克治疗"</f>
        <v>胰岛素低血糖和休克治疗</v>
      </c>
      <c r="B694" s="1">
        <v>39</v>
      </c>
      <c r="C694" s="1" t="str">
        <f t="shared" si="226"/>
        <v>次</v>
      </c>
      <c r="D694" s="1" t="str">
        <f t="shared" si="227"/>
        <v>次</v>
      </c>
      <c r="E694" s="1" t="str">
        <f t="shared" ref="E694:E697" si="229">"治疗费"</f>
        <v>治疗费</v>
      </c>
    </row>
    <row r="695" spans="1:5">
      <c r="A695" s="1" t="str">
        <f>"行为观察和治疗"</f>
        <v>行为观察和治疗</v>
      </c>
      <c r="B695" s="1">
        <v>13</v>
      </c>
      <c r="C695" s="1" t="str">
        <f t="shared" si="226"/>
        <v>次</v>
      </c>
      <c r="D695" s="1" t="str">
        <f t="shared" si="227"/>
        <v>次</v>
      </c>
      <c r="E695" s="1" t="str">
        <f t="shared" si="229"/>
        <v>治疗费</v>
      </c>
    </row>
    <row r="696" spans="1:5">
      <c r="A696" s="1" t="str">
        <f>"冲动行为干预治疗"</f>
        <v>冲动行为干预治疗</v>
      </c>
      <c r="B696" s="1">
        <v>20</v>
      </c>
      <c r="C696" s="1" t="str">
        <f t="shared" si="226"/>
        <v>次</v>
      </c>
      <c r="D696" s="1" t="str">
        <f t="shared" si="227"/>
        <v>次</v>
      </c>
      <c r="E696" s="1" t="str">
        <f t="shared" si="229"/>
        <v>治疗费</v>
      </c>
    </row>
    <row r="697" spans="1:5">
      <c r="A697" s="1" t="str">
        <f>"行为矫正治疗"</f>
        <v>行为矫正治疗</v>
      </c>
      <c r="B697" s="1">
        <v>26</v>
      </c>
      <c r="C697" s="1" t="str">
        <f>"日"</f>
        <v>日</v>
      </c>
      <c r="D697" s="1" t="str">
        <f>"日"</f>
        <v>日</v>
      </c>
      <c r="E697" s="1" t="str">
        <f t="shared" si="229"/>
        <v>治疗费</v>
      </c>
    </row>
    <row r="698" spans="1:5">
      <c r="A698" s="1" t="str">
        <f>"局部浸润麻醉"</f>
        <v>局部浸润麻醉</v>
      </c>
      <c r="B698" s="1">
        <v>25</v>
      </c>
      <c r="C698" s="1" t="str">
        <f t="shared" ref="C698:C705" si="230">"次"</f>
        <v>次</v>
      </c>
      <c r="D698" s="1" t="str">
        <f t="shared" ref="D698:D701" si="231">"次"</f>
        <v>次</v>
      </c>
      <c r="E698" s="1" t="str">
        <f t="shared" ref="E698:E703" si="232">"麻醉费"</f>
        <v>麻醉费</v>
      </c>
    </row>
    <row r="699" spans="1:5">
      <c r="A699" s="1" t="str">
        <f>"神经阻滞麻醉"</f>
        <v>神经阻滞麻醉</v>
      </c>
      <c r="B699" s="1">
        <v>124</v>
      </c>
      <c r="C699" s="1" t="str">
        <f t="shared" si="230"/>
        <v>次</v>
      </c>
      <c r="D699" s="1" t="str">
        <f t="shared" si="231"/>
        <v>次</v>
      </c>
      <c r="E699" s="1" t="str">
        <f t="shared" si="232"/>
        <v>麻醉费</v>
      </c>
    </row>
    <row r="700" spans="1:5">
      <c r="A700" s="1" t="str">
        <f>"神经阻滞麻醉口腔门诊"</f>
        <v>神经阻滞麻醉口腔门诊</v>
      </c>
      <c r="B700" s="1">
        <v>36</v>
      </c>
      <c r="C700" s="1" t="str">
        <f t="shared" si="230"/>
        <v>次</v>
      </c>
      <c r="D700" s="1" t="str">
        <f t="shared" si="231"/>
        <v>次</v>
      </c>
      <c r="E700" s="1" t="str">
        <f>"治疗费"</f>
        <v>治疗费</v>
      </c>
    </row>
    <row r="701" spans="1:5">
      <c r="A701" s="1" t="str">
        <f>"基础麻醉"</f>
        <v>基础麻醉</v>
      </c>
      <c r="B701" s="1">
        <v>89</v>
      </c>
      <c r="C701" s="1" t="str">
        <f t="shared" si="230"/>
        <v>次</v>
      </c>
      <c r="D701" s="1" t="str">
        <f t="shared" si="231"/>
        <v>次</v>
      </c>
      <c r="E701" s="1" t="str">
        <f t="shared" si="232"/>
        <v>麻醉费</v>
      </c>
    </row>
    <row r="702" spans="1:5">
      <c r="A702" s="1" t="str">
        <f>"全身麻醉"</f>
        <v>全身麻醉</v>
      </c>
      <c r="B702" s="1">
        <v>378</v>
      </c>
      <c r="C702" s="1" t="str">
        <f t="shared" si="230"/>
        <v>次</v>
      </c>
      <c r="D702" s="1" t="str">
        <f>"2小时"</f>
        <v>2小时</v>
      </c>
      <c r="E702" s="1" t="str">
        <f t="shared" si="232"/>
        <v>麻醉费</v>
      </c>
    </row>
    <row r="703" spans="1:5">
      <c r="A703" s="1" t="str">
        <f>"不插管全身麻醉"</f>
        <v>不插管全身麻醉</v>
      </c>
      <c r="B703" s="1">
        <v>228</v>
      </c>
      <c r="C703" s="1" t="str">
        <f t="shared" si="230"/>
        <v>次</v>
      </c>
      <c r="D703" s="1" t="str">
        <f t="shared" ref="D703:D705" si="233">"次"</f>
        <v>次</v>
      </c>
      <c r="E703" s="1" t="str">
        <f t="shared" si="232"/>
        <v>麻醉费</v>
      </c>
    </row>
    <row r="704" spans="1:5">
      <c r="A704" s="1" t="str">
        <f>"心肺复苏术"</f>
        <v>心肺复苏术</v>
      </c>
      <c r="B704" s="1">
        <v>149</v>
      </c>
      <c r="C704" s="1" t="str">
        <f t="shared" si="230"/>
        <v>次</v>
      </c>
      <c r="D704" s="1" t="str">
        <f t="shared" si="233"/>
        <v>次</v>
      </c>
      <c r="E704" s="1" t="str">
        <f>"治疗费"</f>
        <v>治疗费</v>
      </c>
    </row>
    <row r="705" spans="1:5">
      <c r="A705" s="1" t="str">
        <f>"气管插管术"</f>
        <v>气管插管术</v>
      </c>
      <c r="B705" s="1">
        <v>60</v>
      </c>
      <c r="C705" s="1" t="str">
        <f t="shared" si="230"/>
        <v>次</v>
      </c>
      <c r="D705" s="1" t="str">
        <f t="shared" si="233"/>
        <v>次</v>
      </c>
      <c r="E705" s="1" t="str">
        <f>"手术治疗费"</f>
        <v>手术治疗费</v>
      </c>
    </row>
    <row r="706" spans="1:5">
      <c r="A706" s="1" t="str">
        <f>"麻醉中监测"</f>
        <v>麻醉中监测</v>
      </c>
      <c r="B706" s="1">
        <v>60</v>
      </c>
      <c r="C706" s="1" t="str">
        <f>"小时"</f>
        <v>小时</v>
      </c>
      <c r="D706" s="1" t="str">
        <f>"小时"</f>
        <v>小时</v>
      </c>
      <c r="E706" s="1" t="str">
        <f>"麻醉费"</f>
        <v>麻醉费</v>
      </c>
    </row>
    <row r="707" spans="1:5">
      <c r="A707" s="1" t="str">
        <f>"控制性降压"</f>
        <v>控制性降压</v>
      </c>
      <c r="B707" s="1">
        <v>60</v>
      </c>
      <c r="C707" s="1" t="str">
        <f t="shared" ref="C707:C710" si="234">"次"</f>
        <v>次</v>
      </c>
      <c r="D707" s="1" t="str">
        <f t="shared" ref="D707:D710" si="235">"次"</f>
        <v>次</v>
      </c>
      <c r="E707" s="1" t="str">
        <f t="shared" ref="E707:E710" si="236">"手术费"</f>
        <v>手术费</v>
      </c>
    </row>
    <row r="708" spans="1:5">
      <c r="A708" s="1" t="str">
        <f>"头皮肿物切除术"</f>
        <v>头皮肿物切除术</v>
      </c>
      <c r="B708" s="1">
        <v>108</v>
      </c>
      <c r="C708" s="1" t="str">
        <f t="shared" si="234"/>
        <v>次</v>
      </c>
      <c r="D708" s="1" t="str">
        <f t="shared" si="235"/>
        <v>次</v>
      </c>
      <c r="E708" s="1" t="str">
        <f t="shared" si="236"/>
        <v>手术费</v>
      </c>
    </row>
    <row r="709" spans="1:5">
      <c r="A709" s="1" t="str">
        <f>"头皮肿物切除术直径大于4cm加收"</f>
        <v>头皮肿物切除术直径大于4cm加收</v>
      </c>
      <c r="B709" s="1">
        <v>30</v>
      </c>
      <c r="C709" s="1" t="str">
        <f t="shared" si="234"/>
        <v>次</v>
      </c>
      <c r="D709" s="1" t="str">
        <f t="shared" si="235"/>
        <v>次</v>
      </c>
      <c r="E709" s="1" t="str">
        <f t="shared" si="236"/>
        <v>手术费</v>
      </c>
    </row>
    <row r="710" spans="1:5">
      <c r="A710" s="1" t="str">
        <f>"眼睑肿物切除术"</f>
        <v>眼睑肿物切除术</v>
      </c>
      <c r="B710" s="1">
        <v>130</v>
      </c>
      <c r="C710" s="1" t="str">
        <f t="shared" si="234"/>
        <v>次</v>
      </c>
      <c r="D710" s="1" t="str">
        <f t="shared" si="235"/>
        <v>次</v>
      </c>
      <c r="E710" s="1" t="str">
        <f t="shared" si="236"/>
        <v>手术费</v>
      </c>
    </row>
    <row r="711" spans="1:5">
      <c r="A711" s="1" t="str">
        <f>"结膜肿物切除术"</f>
        <v>结膜肿物切除术</v>
      </c>
      <c r="B711" s="1">
        <v>189</v>
      </c>
      <c r="C711" s="1">
        <v>1</v>
      </c>
      <c r="D711" s="1" t="str">
        <f>"每次"</f>
        <v>每次</v>
      </c>
      <c r="E711" s="1" t="str">
        <f>"手术治疗费"</f>
        <v>手术治疗费</v>
      </c>
    </row>
    <row r="712" spans="1:5">
      <c r="A712" s="1" t="str">
        <f>"麦粒肿切除术"</f>
        <v>麦粒肿切除术</v>
      </c>
      <c r="B712" s="1">
        <v>65</v>
      </c>
      <c r="C712" s="1" t="str">
        <f t="shared" ref="C712:C717" si="237">"次"</f>
        <v>次</v>
      </c>
      <c r="D712" s="1" t="str">
        <f t="shared" ref="D712:D717" si="238">"次"</f>
        <v>次</v>
      </c>
      <c r="E712" s="1" t="str">
        <f t="shared" ref="E712:E717" si="239">"手术费"</f>
        <v>手术费</v>
      </c>
    </row>
    <row r="713" spans="1:5">
      <c r="A713" s="1" t="str">
        <f>"角膜拆线"</f>
        <v>角膜拆线</v>
      </c>
      <c r="B713" s="1">
        <v>54</v>
      </c>
      <c r="C713" s="1" t="str">
        <f t="shared" si="237"/>
        <v>次</v>
      </c>
      <c r="D713" s="1" t="str">
        <f t="shared" si="238"/>
        <v>次</v>
      </c>
      <c r="E713" s="1" t="str">
        <f t="shared" si="239"/>
        <v>手术费</v>
      </c>
    </row>
    <row r="714" spans="1:5">
      <c r="A714" s="1" t="str">
        <f>"耳廓软骨膜炎清创术"</f>
        <v>耳廓软骨膜炎清创术</v>
      </c>
      <c r="B714" s="1">
        <v>162</v>
      </c>
      <c r="C714" s="1" t="str">
        <f t="shared" si="237"/>
        <v>次</v>
      </c>
      <c r="D714" s="1" t="str">
        <f t="shared" si="238"/>
        <v>次</v>
      </c>
      <c r="E714" s="1" t="str">
        <f t="shared" si="239"/>
        <v>手术费</v>
      </c>
    </row>
    <row r="715" spans="1:5">
      <c r="A715" s="1" t="str">
        <f>"耳道异物取出术"</f>
        <v>耳道异物取出术</v>
      </c>
      <c r="B715" s="1">
        <v>87</v>
      </c>
      <c r="C715" s="1" t="str">
        <f t="shared" si="237"/>
        <v>次</v>
      </c>
      <c r="D715" s="1" t="str">
        <f t="shared" si="238"/>
        <v>次</v>
      </c>
      <c r="E715" s="1" t="str">
        <f t="shared" si="239"/>
        <v>手术费</v>
      </c>
    </row>
    <row r="716" spans="1:5">
      <c r="A716" s="1" t="str">
        <f>"鼻外伤清创缝合术"</f>
        <v>鼻外伤清创缝合术</v>
      </c>
      <c r="B716" s="1">
        <v>216</v>
      </c>
      <c r="C716" s="1" t="str">
        <f t="shared" si="237"/>
        <v>次</v>
      </c>
      <c r="D716" s="1" t="str">
        <f t="shared" si="238"/>
        <v>次</v>
      </c>
      <c r="E716" s="1" t="str">
        <f t="shared" si="239"/>
        <v>手术费</v>
      </c>
    </row>
    <row r="717" spans="1:5">
      <c r="A717" s="1" t="str">
        <f>"鼻腔异物取出术"</f>
        <v>鼻腔异物取出术</v>
      </c>
      <c r="B717" s="1">
        <v>54</v>
      </c>
      <c r="C717" s="1" t="str">
        <f t="shared" si="237"/>
        <v>次</v>
      </c>
      <c r="D717" s="1" t="str">
        <f t="shared" si="238"/>
        <v>次</v>
      </c>
      <c r="E717" s="1" t="str">
        <f t="shared" si="239"/>
        <v>手术费</v>
      </c>
    </row>
    <row r="718" spans="1:5">
      <c r="A718" s="1" t="str">
        <f>"乳牙拔除术"</f>
        <v>乳牙拔除术</v>
      </c>
      <c r="B718" s="1">
        <v>7.7</v>
      </c>
      <c r="C718" s="1" t="str">
        <f t="shared" ref="C718:C725" si="240">"每牙"</f>
        <v>每牙</v>
      </c>
      <c r="D718" s="1" t="str">
        <f t="shared" ref="D718:D731" si="241">"每牙"</f>
        <v>每牙</v>
      </c>
      <c r="E718" s="1" t="str">
        <f t="shared" ref="E718:E725" si="242">"手术费"</f>
        <v>手术费</v>
      </c>
    </row>
    <row r="719" spans="1:5">
      <c r="A719" s="1" t="str">
        <f>"前牙拔除术"</f>
        <v>前牙拔除术</v>
      </c>
      <c r="B719" s="1">
        <v>16</v>
      </c>
      <c r="C719" s="1" t="str">
        <f t="shared" si="240"/>
        <v>每牙</v>
      </c>
      <c r="D719" s="1" t="str">
        <f t="shared" si="241"/>
        <v>每牙</v>
      </c>
      <c r="E719" s="1" t="str">
        <f t="shared" si="242"/>
        <v>手术费</v>
      </c>
    </row>
    <row r="720" spans="1:5">
      <c r="A720" s="1" t="str">
        <f>"前磨牙拔除术"</f>
        <v>前磨牙拔除术</v>
      </c>
      <c r="B720" s="1">
        <v>22</v>
      </c>
      <c r="C720" s="1" t="str">
        <f t="shared" si="240"/>
        <v>每牙</v>
      </c>
      <c r="D720" s="1" t="str">
        <f t="shared" si="241"/>
        <v>每牙</v>
      </c>
      <c r="E720" s="1" t="str">
        <f t="shared" si="242"/>
        <v>手术费</v>
      </c>
    </row>
    <row r="721" spans="1:5">
      <c r="A721" s="1" t="str">
        <f>"磨牙拔除术"</f>
        <v>磨牙拔除术</v>
      </c>
      <c r="B721" s="1">
        <v>27</v>
      </c>
      <c r="C721" s="1" t="str">
        <f t="shared" si="240"/>
        <v>每牙</v>
      </c>
      <c r="D721" s="1" t="str">
        <f t="shared" si="241"/>
        <v>每牙</v>
      </c>
      <c r="E721" s="1" t="str">
        <f t="shared" si="242"/>
        <v>手术费</v>
      </c>
    </row>
    <row r="722" spans="1:5">
      <c r="A722" s="1" t="str">
        <f>"复杂牙拔除术"</f>
        <v>复杂牙拔除术</v>
      </c>
      <c r="B722" s="1">
        <v>50</v>
      </c>
      <c r="C722" s="1" t="str">
        <f t="shared" si="240"/>
        <v>每牙</v>
      </c>
      <c r="D722" s="1" t="str">
        <f t="shared" si="241"/>
        <v>每牙</v>
      </c>
      <c r="E722" s="1" t="str">
        <f t="shared" si="242"/>
        <v>手术费</v>
      </c>
    </row>
    <row r="723" spans="1:5">
      <c r="A723" s="1" t="str">
        <f>"阻生牙拔除术"</f>
        <v>阻生牙拔除术</v>
      </c>
      <c r="B723" s="1">
        <v>122</v>
      </c>
      <c r="C723" s="1" t="str">
        <f t="shared" si="240"/>
        <v>每牙</v>
      </c>
      <c r="D723" s="1" t="str">
        <f t="shared" si="241"/>
        <v>每牙</v>
      </c>
      <c r="E723" s="1" t="str">
        <f t="shared" si="242"/>
        <v>手术费</v>
      </c>
    </row>
    <row r="724" spans="1:5">
      <c r="A724" s="1" t="str">
        <f>"拔牙创面搔刮术"</f>
        <v>拔牙创面搔刮术</v>
      </c>
      <c r="B724" s="1">
        <v>27</v>
      </c>
      <c r="C724" s="1" t="str">
        <f t="shared" si="240"/>
        <v>每牙</v>
      </c>
      <c r="D724" s="1" t="str">
        <f t="shared" si="241"/>
        <v>每牙</v>
      </c>
      <c r="E724" s="1" t="str">
        <f t="shared" si="242"/>
        <v>手术费</v>
      </c>
    </row>
    <row r="725" spans="1:5">
      <c r="A725" s="1" t="str">
        <f>"牙槽骨修整术"</f>
        <v>牙槽骨修整术</v>
      </c>
      <c r="B725" s="1">
        <v>58</v>
      </c>
      <c r="C725" s="1" t="str">
        <f t="shared" si="240"/>
        <v>每牙</v>
      </c>
      <c r="D725" s="1" t="str">
        <f t="shared" si="241"/>
        <v>每牙</v>
      </c>
      <c r="E725" s="1" t="str">
        <f t="shared" si="242"/>
        <v>手术费</v>
      </c>
    </row>
    <row r="726" spans="1:5">
      <c r="A726" s="1" t="str">
        <f>"阻生智齿龈瓣整形束"</f>
        <v>阻生智齿龈瓣整形束</v>
      </c>
      <c r="B726" s="1">
        <v>54</v>
      </c>
      <c r="C726" s="1" t="str">
        <f>"-"</f>
        <v>-</v>
      </c>
      <c r="D726" s="1" t="str">
        <f t="shared" si="241"/>
        <v>每牙</v>
      </c>
      <c r="E726" s="1" t="str">
        <f>"治疗费"</f>
        <v>治疗费</v>
      </c>
    </row>
    <row r="727" spans="1:5">
      <c r="A727" s="1" t="str">
        <f>"根端囊肿摘除术"</f>
        <v>根端囊肿摘除术</v>
      </c>
      <c r="B727" s="1">
        <v>162</v>
      </c>
      <c r="C727" s="1" t="str">
        <f t="shared" ref="C727:C731" si="243">"每牙"</f>
        <v>每牙</v>
      </c>
      <c r="D727" s="1" t="str">
        <f t="shared" si="241"/>
        <v>每牙</v>
      </c>
      <c r="E727" s="1" t="str">
        <f t="shared" ref="E727:E730" si="244">"手术费"</f>
        <v>手术费</v>
      </c>
    </row>
    <row r="728" spans="1:5">
      <c r="A728" s="1" t="str">
        <f>"牙龈翻瓣术"</f>
        <v>牙龈翻瓣术</v>
      </c>
      <c r="B728" s="1">
        <v>97</v>
      </c>
      <c r="C728" s="1" t="str">
        <f t="shared" si="243"/>
        <v>每牙</v>
      </c>
      <c r="D728" s="1" t="str">
        <f t="shared" si="241"/>
        <v>每牙</v>
      </c>
      <c r="E728" s="1" t="str">
        <f t="shared" si="244"/>
        <v>手术费</v>
      </c>
    </row>
    <row r="729" spans="1:5">
      <c r="A729" s="1" t="str">
        <f>"牙冠延长术"</f>
        <v>牙冠延长术</v>
      </c>
      <c r="B729" s="1">
        <v>87</v>
      </c>
      <c r="C729" s="1" t="str">
        <f t="shared" si="243"/>
        <v>每牙</v>
      </c>
      <c r="D729" s="1" t="str">
        <f t="shared" si="241"/>
        <v>每牙</v>
      </c>
      <c r="E729" s="1" t="str">
        <f t="shared" si="244"/>
        <v>手术费</v>
      </c>
    </row>
    <row r="730" spans="1:5">
      <c r="A730" s="1" t="str">
        <f>"截根术"</f>
        <v>截根术</v>
      </c>
      <c r="B730" s="1">
        <v>108</v>
      </c>
      <c r="C730" s="1" t="str">
        <f t="shared" si="243"/>
        <v>每牙</v>
      </c>
      <c r="D730" s="1" t="str">
        <f t="shared" si="241"/>
        <v>每牙</v>
      </c>
      <c r="E730" s="1" t="str">
        <f t="shared" si="244"/>
        <v>手术费</v>
      </c>
    </row>
    <row r="731" spans="1:5">
      <c r="A731" s="1" t="str">
        <f>"分根术"</f>
        <v>分根术</v>
      </c>
      <c r="B731" s="1">
        <v>76</v>
      </c>
      <c r="C731" s="1" t="str">
        <f t="shared" si="243"/>
        <v>每牙</v>
      </c>
      <c r="D731" s="1" t="str">
        <f t="shared" si="241"/>
        <v>每牙</v>
      </c>
      <c r="E731" s="1" t="str">
        <f>"治疗费"</f>
        <v>治疗费</v>
      </c>
    </row>
    <row r="732" spans="1:5">
      <c r="A732" s="1" t="str">
        <f>"口腔颌面部小肿物切除术"</f>
        <v>口腔颌面部小肿物切除术</v>
      </c>
      <c r="B732" s="1">
        <v>62</v>
      </c>
      <c r="C732" s="1" t="str">
        <f t="shared" ref="C732:C737" si="245">"次"</f>
        <v>次</v>
      </c>
      <c r="D732" s="1" t="str">
        <f t="shared" ref="D732:D737" si="246">"次"</f>
        <v>次</v>
      </c>
      <c r="E732" s="1" t="str">
        <f t="shared" ref="E732:E749" si="247">"手术费"</f>
        <v>手术费</v>
      </c>
    </row>
    <row r="733" spans="1:5">
      <c r="A733" s="1" t="str">
        <f>"系带成形术"</f>
        <v>系带成形术</v>
      </c>
      <c r="B733" s="1">
        <v>97</v>
      </c>
      <c r="C733" s="1" t="str">
        <f>"项"</f>
        <v>项</v>
      </c>
      <c r="D733" s="1" t="str">
        <f t="shared" si="246"/>
        <v>次</v>
      </c>
      <c r="E733" s="1" t="str">
        <f t="shared" si="247"/>
        <v>手术费</v>
      </c>
    </row>
    <row r="734" spans="1:5">
      <c r="A734" s="1" t="str">
        <f>"唇缺损修复术"</f>
        <v>唇缺损修复术</v>
      </c>
      <c r="B734" s="1">
        <v>540</v>
      </c>
      <c r="C734" s="1" t="str">
        <f t="shared" si="245"/>
        <v>次</v>
      </c>
      <c r="D734" s="1" t="str">
        <f t="shared" si="246"/>
        <v>次</v>
      </c>
      <c r="E734" s="1" t="str">
        <f t="shared" si="247"/>
        <v>手术费</v>
      </c>
    </row>
    <row r="735" spans="1:5">
      <c r="A735" s="1" t="str">
        <f>"口腔颌面软组织清创术(大)"</f>
        <v>口腔颌面软组织清创术(大)</v>
      </c>
      <c r="B735" s="1">
        <v>432</v>
      </c>
      <c r="C735" s="1" t="str">
        <f t="shared" si="245"/>
        <v>次</v>
      </c>
      <c r="D735" s="1" t="str">
        <f t="shared" si="246"/>
        <v>次</v>
      </c>
      <c r="E735" s="1" t="str">
        <f t="shared" si="247"/>
        <v>手术费</v>
      </c>
    </row>
    <row r="736" spans="1:5">
      <c r="A736" s="1" t="str">
        <f>"口腔颌面软组织清创术(中)"</f>
        <v>口腔颌面软组织清创术(中)</v>
      </c>
      <c r="B736" s="1">
        <v>284</v>
      </c>
      <c r="C736" s="1" t="str">
        <f t="shared" si="245"/>
        <v>次</v>
      </c>
      <c r="D736" s="1" t="str">
        <f t="shared" si="246"/>
        <v>次</v>
      </c>
      <c r="E736" s="1" t="str">
        <f t="shared" si="247"/>
        <v>手术费</v>
      </c>
    </row>
    <row r="737" spans="1:5">
      <c r="A737" s="1" t="str">
        <f>"口腔颌面软组织清创术(小)"</f>
        <v>口腔颌面软组织清创术(小)</v>
      </c>
      <c r="B737" s="1">
        <v>108</v>
      </c>
      <c r="C737" s="1" t="str">
        <f t="shared" si="245"/>
        <v>次</v>
      </c>
      <c r="D737" s="1" t="str">
        <f t="shared" si="246"/>
        <v>次</v>
      </c>
      <c r="E737" s="1" t="str">
        <f t="shared" si="247"/>
        <v>手术费</v>
      </c>
    </row>
    <row r="738" spans="1:5">
      <c r="A738" s="1" t="str">
        <f>"单颌牙弓夹板拆除术"</f>
        <v>单颌牙弓夹板拆除术</v>
      </c>
      <c r="B738" s="1">
        <v>16</v>
      </c>
      <c r="C738" s="1" t="str">
        <f>"单颌"</f>
        <v>单颌</v>
      </c>
      <c r="D738" s="1" t="str">
        <f>"单颌"</f>
        <v>单颌</v>
      </c>
      <c r="E738" s="1" t="str">
        <f t="shared" si="247"/>
        <v>手术费</v>
      </c>
    </row>
    <row r="739" spans="1:5">
      <c r="A739" s="1" t="str">
        <f>"嵌顿包茎松解术"</f>
        <v>嵌顿包茎松解术</v>
      </c>
      <c r="B739" s="1">
        <v>216</v>
      </c>
      <c r="C739" s="1">
        <v>1</v>
      </c>
      <c r="D739" s="1" t="str">
        <f t="shared" ref="D739:D749" si="248">"次"</f>
        <v>次</v>
      </c>
      <c r="E739" s="1" t="str">
        <f t="shared" si="247"/>
        <v>手术费</v>
      </c>
    </row>
    <row r="740" spans="1:5">
      <c r="A740" s="1" t="str">
        <f>"包皮环切术"</f>
        <v>包皮环切术</v>
      </c>
      <c r="B740" s="1">
        <v>243</v>
      </c>
      <c r="C740" s="1" t="str">
        <f t="shared" ref="C740:C749" si="249">"次"</f>
        <v>次</v>
      </c>
      <c r="D740" s="1" t="str">
        <f t="shared" si="248"/>
        <v>次</v>
      </c>
      <c r="E740" s="1" t="str">
        <f t="shared" si="247"/>
        <v>手术费</v>
      </c>
    </row>
    <row r="741" spans="1:5">
      <c r="A741" s="1" t="str">
        <f>"宫颈息肉切除术"</f>
        <v>宫颈息肉切除术</v>
      </c>
      <c r="B741" s="1">
        <v>54</v>
      </c>
      <c r="C741" s="1" t="str">
        <f>"项"</f>
        <v>项</v>
      </c>
      <c r="D741" s="1" t="str">
        <f t="shared" si="248"/>
        <v>次</v>
      </c>
      <c r="E741" s="1" t="str">
        <f t="shared" si="247"/>
        <v>手术费</v>
      </c>
    </row>
    <row r="742" spans="1:5">
      <c r="A742" s="1" t="str">
        <f>"宫颈环形电切术"</f>
        <v>宫颈环形电切术</v>
      </c>
      <c r="B742" s="1">
        <v>540</v>
      </c>
      <c r="C742" s="1" t="str">
        <f t="shared" si="249"/>
        <v>次</v>
      </c>
      <c r="D742" s="1" t="str">
        <f t="shared" si="248"/>
        <v>次</v>
      </c>
      <c r="E742" s="1" t="str">
        <f t="shared" si="247"/>
        <v>手术费</v>
      </c>
    </row>
    <row r="743" spans="1:5">
      <c r="A743" s="1" t="str">
        <f>"阴道异物取出术"</f>
        <v>阴道异物取出术</v>
      </c>
      <c r="B743" s="1">
        <v>162</v>
      </c>
      <c r="C743" s="1" t="str">
        <f t="shared" si="249"/>
        <v>次</v>
      </c>
      <c r="D743" s="1" t="str">
        <f t="shared" si="248"/>
        <v>次</v>
      </c>
      <c r="E743" s="1" t="str">
        <f t="shared" si="247"/>
        <v>手术费</v>
      </c>
    </row>
    <row r="744" spans="1:5">
      <c r="A744" s="1" t="str">
        <f>"阴道壁血肿切开术"</f>
        <v>阴道壁血肿切开术</v>
      </c>
      <c r="B744" s="1">
        <v>432</v>
      </c>
      <c r="C744" s="1" t="str">
        <f t="shared" si="249"/>
        <v>次</v>
      </c>
      <c r="D744" s="1" t="str">
        <f t="shared" si="248"/>
        <v>次</v>
      </c>
      <c r="E744" s="1" t="str">
        <f t="shared" si="247"/>
        <v>手术费</v>
      </c>
    </row>
    <row r="745" spans="1:5">
      <c r="A745" s="1" t="str">
        <f>"外阴损伤缝合术"</f>
        <v>外阴损伤缝合术</v>
      </c>
      <c r="B745" s="1">
        <v>324</v>
      </c>
      <c r="C745" s="1" t="str">
        <f t="shared" si="249"/>
        <v>次</v>
      </c>
      <c r="D745" s="1" t="str">
        <f t="shared" si="248"/>
        <v>次</v>
      </c>
      <c r="E745" s="1" t="str">
        <f t="shared" si="247"/>
        <v>手术费</v>
      </c>
    </row>
    <row r="746" spans="1:5">
      <c r="A746" s="1" t="str">
        <f>"外阴脓肿切开引流术"</f>
        <v>外阴脓肿切开引流术</v>
      </c>
      <c r="B746" s="1">
        <v>284</v>
      </c>
      <c r="C746" s="1" t="str">
        <f t="shared" si="249"/>
        <v>次</v>
      </c>
      <c r="D746" s="1" t="str">
        <f t="shared" si="248"/>
        <v>次</v>
      </c>
      <c r="E746" s="1" t="str">
        <f t="shared" si="247"/>
        <v>手术费</v>
      </c>
    </row>
    <row r="747" spans="1:5">
      <c r="A747" s="1" t="str">
        <f>"外阴良性肿物切除术"</f>
        <v>外阴良性肿物切除术</v>
      </c>
      <c r="B747" s="1">
        <v>324</v>
      </c>
      <c r="C747" s="1" t="str">
        <f t="shared" si="249"/>
        <v>次</v>
      </c>
      <c r="D747" s="1" t="str">
        <f t="shared" si="248"/>
        <v>次</v>
      </c>
      <c r="E747" s="1" t="str">
        <f t="shared" si="247"/>
        <v>手术费</v>
      </c>
    </row>
    <row r="748" spans="1:5">
      <c r="A748" s="1" t="str">
        <f>"前庭大腺囊肿造口术"</f>
        <v>前庭大腺囊肿造口术</v>
      </c>
      <c r="B748" s="1">
        <v>216</v>
      </c>
      <c r="C748" s="1" t="str">
        <f t="shared" si="249"/>
        <v>次</v>
      </c>
      <c r="D748" s="1" t="str">
        <f t="shared" si="248"/>
        <v>次</v>
      </c>
      <c r="E748" s="1" t="str">
        <f t="shared" si="247"/>
        <v>手术费</v>
      </c>
    </row>
    <row r="749" spans="1:5">
      <c r="A749" s="1" t="str">
        <f>"前庭大腺囊肿切除术"</f>
        <v>前庭大腺囊肿切除术</v>
      </c>
      <c r="B749" s="1">
        <v>216</v>
      </c>
      <c r="C749" s="1" t="str">
        <f t="shared" si="249"/>
        <v>次</v>
      </c>
      <c r="D749" s="1" t="str">
        <f t="shared" si="248"/>
        <v>次</v>
      </c>
      <c r="E749" s="1" t="str">
        <f t="shared" si="247"/>
        <v>手术费</v>
      </c>
    </row>
    <row r="750" spans="1:5">
      <c r="A750" s="1" t="str">
        <f>"手(脚)外伤清创术"</f>
        <v>手(脚)外伤清创术</v>
      </c>
      <c r="B750" s="1">
        <v>162</v>
      </c>
      <c r="C750" s="1">
        <v>1</v>
      </c>
      <c r="D750" s="1" t="str">
        <f>"每指"</f>
        <v>每指</v>
      </c>
      <c r="E750" s="1" t="str">
        <f t="shared" ref="E750:E758" si="250">"手术费"</f>
        <v>手术费</v>
      </c>
    </row>
    <row r="751" spans="1:5">
      <c r="A751" s="1" t="str">
        <f>"手(脚)外伤清创术加收"</f>
        <v>手(脚)外伤清创术加收</v>
      </c>
      <c r="B751" s="1">
        <v>150</v>
      </c>
      <c r="C751" s="1" t="str">
        <f>"每指"</f>
        <v>每指</v>
      </c>
      <c r="D751" s="1" t="str">
        <f>"每指"</f>
        <v>每指</v>
      </c>
      <c r="E751" s="1" t="str">
        <f t="shared" si="250"/>
        <v>手术费</v>
      </c>
    </row>
    <row r="752" spans="1:5">
      <c r="A752" s="1" t="str">
        <f>"手外伤清创术手掌背、前臂者加收"</f>
        <v>手外伤清创术手掌背、前臂者加收</v>
      </c>
      <c r="B752" s="1">
        <v>150</v>
      </c>
      <c r="C752" s="1" t="str">
        <f t="shared" ref="C752:C756" si="251">"次"</f>
        <v>次</v>
      </c>
      <c r="D752" s="1" t="str">
        <f t="shared" ref="D752:D756" si="252">"次"</f>
        <v>次</v>
      </c>
      <c r="E752" s="1" t="str">
        <f t="shared" si="250"/>
        <v>手术费</v>
      </c>
    </row>
    <row r="753" spans="1:5">
      <c r="A753" s="1" t="str">
        <f>"缩窄性腱鞘炎切开术"</f>
        <v>缩窄性腱鞘炎切开术</v>
      </c>
      <c r="B753" s="1">
        <v>540</v>
      </c>
      <c r="C753" s="1" t="str">
        <f t="shared" si="251"/>
        <v>次</v>
      </c>
      <c r="D753" s="1" t="str">
        <f t="shared" si="252"/>
        <v>次</v>
      </c>
      <c r="E753" s="1" t="str">
        <f t="shared" si="250"/>
        <v>手术费</v>
      </c>
    </row>
    <row r="754" spans="1:5">
      <c r="A754" s="1" t="str">
        <f>"腱鞘囊肿切除术"</f>
        <v>腱鞘囊肿切除术</v>
      </c>
      <c r="B754" s="1">
        <v>432</v>
      </c>
      <c r="C754" s="1" t="str">
        <f t="shared" si="251"/>
        <v>次</v>
      </c>
      <c r="D754" s="1" t="str">
        <f t="shared" si="252"/>
        <v>次</v>
      </c>
      <c r="E754" s="1" t="str">
        <f t="shared" si="250"/>
        <v>手术费</v>
      </c>
    </row>
    <row r="755" spans="1:5">
      <c r="A755" s="1" t="str">
        <f>"手法牵引复位术"</f>
        <v>手法牵引复位术</v>
      </c>
      <c r="B755" s="1">
        <v>108</v>
      </c>
      <c r="C755" s="1" t="str">
        <f t="shared" si="251"/>
        <v>次</v>
      </c>
      <c r="D755" s="1" t="str">
        <f t="shared" si="252"/>
        <v>次</v>
      </c>
      <c r="E755" s="1" t="str">
        <f t="shared" si="250"/>
        <v>手术费</v>
      </c>
    </row>
    <row r="756" spans="1:5">
      <c r="A756" s="1" t="str">
        <f>"皮肤牵引术"</f>
        <v>皮肤牵引术</v>
      </c>
      <c r="B756" s="1">
        <v>54</v>
      </c>
      <c r="C756" s="1" t="str">
        <f t="shared" si="251"/>
        <v>次</v>
      </c>
      <c r="D756" s="1" t="str">
        <f t="shared" si="252"/>
        <v>次</v>
      </c>
      <c r="E756" s="1" t="str">
        <f t="shared" si="250"/>
        <v>手术费</v>
      </c>
    </row>
    <row r="757" spans="1:5">
      <c r="A757" s="1" t="str">
        <f>"皮肤牵引术以后持续牵引"</f>
        <v>皮肤牵引术以后持续牵引</v>
      </c>
      <c r="B757" s="1">
        <v>11</v>
      </c>
      <c r="C757" s="1" t="str">
        <f>"日"</f>
        <v>日</v>
      </c>
      <c r="D757" s="1" t="str">
        <f>"日"</f>
        <v>日</v>
      </c>
      <c r="E757" s="1" t="str">
        <f t="shared" si="250"/>
        <v>手术费</v>
      </c>
    </row>
    <row r="758" spans="1:5">
      <c r="A758" s="1" t="str">
        <f>"骨骼牵引术"</f>
        <v>骨骼牵引术</v>
      </c>
      <c r="B758" s="1">
        <v>97</v>
      </c>
      <c r="C758" s="1" t="str">
        <f t="shared" ref="C758:C778" si="253">"次"</f>
        <v>次</v>
      </c>
      <c r="D758" s="1" t="str">
        <f t="shared" ref="D758:D766" si="254">"次"</f>
        <v>次</v>
      </c>
      <c r="E758" s="1" t="str">
        <f t="shared" si="250"/>
        <v>手术费</v>
      </c>
    </row>
    <row r="759" spans="1:5">
      <c r="A759" s="1" t="str">
        <f>"骨髂牵引术（以后持续牵引）"</f>
        <v>骨髂牵引术（以后持续牵引）</v>
      </c>
      <c r="B759" s="1">
        <v>11</v>
      </c>
      <c r="C759" s="1" t="str">
        <f>"日"</f>
        <v>日</v>
      </c>
      <c r="D759" s="1" t="str">
        <f>"日"</f>
        <v>日</v>
      </c>
      <c r="E759" s="1" t="str">
        <f>"治疗费"</f>
        <v>治疗费</v>
      </c>
    </row>
    <row r="760" spans="1:5">
      <c r="A760" s="1" t="str">
        <f>"石膏固定术(特大)"</f>
        <v>石膏固定术(特大)</v>
      </c>
      <c r="B760" s="1">
        <v>162</v>
      </c>
      <c r="C760" s="1" t="str">
        <f t="shared" si="253"/>
        <v>次</v>
      </c>
      <c r="D760" s="1" t="str">
        <f t="shared" si="254"/>
        <v>次</v>
      </c>
      <c r="E760" s="1" t="str">
        <f t="shared" ref="E760:E767" si="255">"手术费"</f>
        <v>手术费</v>
      </c>
    </row>
    <row r="761" spans="1:5">
      <c r="A761" s="1" t="str">
        <f>"石膏固定术(大)"</f>
        <v>石膏固定术(大)</v>
      </c>
      <c r="B761" s="1">
        <v>108</v>
      </c>
      <c r="C761" s="1" t="str">
        <f t="shared" si="253"/>
        <v>次</v>
      </c>
      <c r="D761" s="1" t="str">
        <f t="shared" si="254"/>
        <v>次</v>
      </c>
      <c r="E761" s="1" t="str">
        <f t="shared" si="255"/>
        <v>手术费</v>
      </c>
    </row>
    <row r="762" spans="1:5">
      <c r="A762" s="1" t="str">
        <f>"石膏固定术(中)"</f>
        <v>石膏固定术(中)</v>
      </c>
      <c r="B762" s="1">
        <v>97</v>
      </c>
      <c r="C762" s="1" t="str">
        <f t="shared" si="253"/>
        <v>次</v>
      </c>
      <c r="D762" s="1" t="str">
        <f t="shared" si="254"/>
        <v>次</v>
      </c>
      <c r="E762" s="1" t="str">
        <f t="shared" si="255"/>
        <v>手术费</v>
      </c>
    </row>
    <row r="763" spans="1:5">
      <c r="A763" s="1" t="str">
        <f>"石膏固定术(小)"</f>
        <v>石膏固定术(小)</v>
      </c>
      <c r="B763" s="1">
        <v>43</v>
      </c>
      <c r="C763" s="1" t="str">
        <f t="shared" si="253"/>
        <v>次</v>
      </c>
      <c r="D763" s="1" t="str">
        <f t="shared" si="254"/>
        <v>次</v>
      </c>
      <c r="E763" s="1" t="str">
        <f t="shared" si="255"/>
        <v>手术费</v>
      </c>
    </row>
    <row r="764" spans="1:5">
      <c r="A764" s="1" t="str">
        <f>"石膏拆除术"</f>
        <v>石膏拆除术</v>
      </c>
      <c r="B764" s="1">
        <v>22</v>
      </c>
      <c r="C764" s="1" t="str">
        <f t="shared" si="253"/>
        <v>次</v>
      </c>
      <c r="D764" s="1" t="str">
        <f t="shared" si="254"/>
        <v>次</v>
      </c>
      <c r="E764" s="1" t="str">
        <f t="shared" si="255"/>
        <v>手术费</v>
      </c>
    </row>
    <row r="765" spans="1:5">
      <c r="A765" s="1" t="str">
        <f>"脓肿切开引流术"</f>
        <v>脓肿切开引流术</v>
      </c>
      <c r="B765" s="1">
        <v>108</v>
      </c>
      <c r="C765" s="1" t="str">
        <f t="shared" si="253"/>
        <v>次</v>
      </c>
      <c r="D765" s="1" t="str">
        <f t="shared" si="254"/>
        <v>次</v>
      </c>
      <c r="E765" s="1" t="str">
        <f t="shared" si="255"/>
        <v>手术费</v>
      </c>
    </row>
    <row r="766" spans="1:5">
      <c r="A766" s="1" t="str">
        <f>"体表异物取出术"</f>
        <v>体表异物取出术</v>
      </c>
      <c r="B766" s="1">
        <v>120</v>
      </c>
      <c r="C766" s="1" t="str">
        <f t="shared" si="253"/>
        <v>次</v>
      </c>
      <c r="D766" s="1" t="str">
        <f t="shared" si="254"/>
        <v>次</v>
      </c>
      <c r="E766" s="1" t="str">
        <f t="shared" si="255"/>
        <v>手术费</v>
      </c>
    </row>
    <row r="767" spans="1:5">
      <c r="A767" s="1" t="str">
        <f>"浅表肿物切除术"</f>
        <v>浅表肿物切除术</v>
      </c>
      <c r="B767" s="1">
        <v>120</v>
      </c>
      <c r="C767" s="1" t="str">
        <f t="shared" si="253"/>
        <v>次</v>
      </c>
      <c r="D767" s="1" t="str">
        <f t="shared" ref="D767:D771" si="256">"每个 肿物"</f>
        <v>每个 肿物</v>
      </c>
      <c r="E767" s="1" t="str">
        <f t="shared" si="255"/>
        <v>手术费</v>
      </c>
    </row>
    <row r="768" spans="1:5">
      <c r="A768" s="1" t="str">
        <f>"皮脂腺囊肿切除术"</f>
        <v>皮脂腺囊肿切除术</v>
      </c>
      <c r="B768" s="1">
        <v>108</v>
      </c>
      <c r="C768" s="1" t="str">
        <f t="shared" si="253"/>
        <v>次</v>
      </c>
      <c r="D768" s="1" t="str">
        <f t="shared" si="256"/>
        <v>每个 肿物</v>
      </c>
      <c r="E768" s="1" t="str">
        <f>"手术治疗费"</f>
        <v>手术治疗费</v>
      </c>
    </row>
    <row r="769" spans="1:5">
      <c r="A769" s="1" t="str">
        <f>"纤维瘤切除术"</f>
        <v>纤维瘤切除术</v>
      </c>
      <c r="B769" s="1">
        <v>108</v>
      </c>
      <c r="C769" s="1" t="str">
        <f t="shared" si="253"/>
        <v>次</v>
      </c>
      <c r="D769" s="1" t="str">
        <f t="shared" si="256"/>
        <v>每个 肿物</v>
      </c>
      <c r="E769" s="1" t="str">
        <f t="shared" ref="E769:E772" si="257">"手术费"</f>
        <v>手术费</v>
      </c>
    </row>
    <row r="770" spans="1:5">
      <c r="A770" s="1" t="str">
        <f>"疣切除术"</f>
        <v>疣切除术</v>
      </c>
      <c r="B770" s="1">
        <v>108</v>
      </c>
      <c r="C770" s="1" t="str">
        <f t="shared" si="253"/>
        <v>次</v>
      </c>
      <c r="D770" s="1" t="str">
        <f t="shared" si="256"/>
        <v>每个 肿物</v>
      </c>
      <c r="E770" s="1" t="str">
        <f t="shared" si="257"/>
        <v>手术费</v>
      </c>
    </row>
    <row r="771" spans="1:5">
      <c r="A771" s="1" t="str">
        <f>"痣切除术"</f>
        <v>痣切除术</v>
      </c>
      <c r="B771" s="1">
        <v>108</v>
      </c>
      <c r="C771" s="1" t="str">
        <f t="shared" si="253"/>
        <v>次</v>
      </c>
      <c r="D771" s="1" t="str">
        <f t="shared" si="256"/>
        <v>每个 肿物</v>
      </c>
      <c r="E771" s="1" t="str">
        <f t="shared" si="257"/>
        <v>手术费</v>
      </c>
    </row>
    <row r="772" spans="1:5">
      <c r="A772" s="1" t="str">
        <f>"切开排毒"</f>
        <v>切开排毒</v>
      </c>
      <c r="B772" s="1">
        <v>85</v>
      </c>
      <c r="C772" s="1" t="str">
        <f t="shared" si="253"/>
        <v>次</v>
      </c>
      <c r="D772" s="1" t="str">
        <f t="shared" ref="D772:D776" si="258">"次"</f>
        <v>次</v>
      </c>
      <c r="E772" s="1" t="str">
        <f t="shared" si="257"/>
        <v>手术费</v>
      </c>
    </row>
    <row r="773" spans="1:5">
      <c r="A773" s="1" t="str">
        <f>"红外线治疗"</f>
        <v>红外线治疗</v>
      </c>
      <c r="B773" s="1">
        <v>7</v>
      </c>
      <c r="C773" s="1" t="str">
        <f t="shared" si="253"/>
        <v>次</v>
      </c>
      <c r="D773" s="1" t="str">
        <f>"每部位"</f>
        <v>每部位</v>
      </c>
      <c r="E773" s="1" t="str">
        <f t="shared" ref="E773:E800" si="259">"治疗费"</f>
        <v>治疗费</v>
      </c>
    </row>
    <row r="774" spans="1:5">
      <c r="A774" s="1" t="str">
        <f>"可见光治疗"</f>
        <v>可见光治疗</v>
      </c>
      <c r="B774" s="1">
        <v>5</v>
      </c>
      <c r="C774" s="1" t="str">
        <f t="shared" si="253"/>
        <v>次</v>
      </c>
      <c r="D774" s="1" t="str">
        <f t="shared" si="258"/>
        <v>次</v>
      </c>
      <c r="E774" s="1" t="str">
        <f t="shared" si="259"/>
        <v>治疗费</v>
      </c>
    </row>
    <row r="775" spans="1:5">
      <c r="A775" s="1" t="str">
        <f>"偏振光照射"</f>
        <v>偏振光照射</v>
      </c>
      <c r="B775" s="1">
        <v>8</v>
      </c>
      <c r="C775" s="1" t="str">
        <f t="shared" si="253"/>
        <v>次</v>
      </c>
      <c r="D775" s="1" t="str">
        <f t="shared" si="258"/>
        <v>次</v>
      </c>
      <c r="E775" s="1" t="str">
        <f t="shared" si="259"/>
        <v>治疗费</v>
      </c>
    </row>
    <row r="776" spans="1:5">
      <c r="A776" s="1" t="str">
        <f>"紫外线治疗"</f>
        <v>紫外线治疗</v>
      </c>
      <c r="B776" s="1">
        <v>8</v>
      </c>
      <c r="C776" s="1" t="str">
        <f t="shared" si="253"/>
        <v>次</v>
      </c>
      <c r="D776" s="1" t="str">
        <f t="shared" si="258"/>
        <v>次</v>
      </c>
      <c r="E776" s="1" t="str">
        <f t="shared" si="259"/>
        <v>治疗费</v>
      </c>
    </row>
    <row r="777" spans="1:5">
      <c r="A777" s="1" t="str">
        <f>"激光疗法"</f>
        <v>激光疗法</v>
      </c>
      <c r="B777" s="1">
        <v>10</v>
      </c>
      <c r="C777" s="1" t="str">
        <f t="shared" si="253"/>
        <v>次</v>
      </c>
      <c r="D777" s="1" t="str">
        <f t="shared" ref="D777:D781" si="260">"每部位"</f>
        <v>每部位</v>
      </c>
      <c r="E777" s="1" t="str">
        <f t="shared" si="259"/>
        <v>治疗费</v>
      </c>
    </row>
    <row r="778" spans="1:5">
      <c r="A778" s="1" t="str">
        <f>"光敏疗法"</f>
        <v>光敏疗法</v>
      </c>
      <c r="B778" s="1">
        <v>10</v>
      </c>
      <c r="C778" s="1" t="str">
        <f t="shared" si="253"/>
        <v>次</v>
      </c>
      <c r="D778" s="1" t="str">
        <f>"次"</f>
        <v>次</v>
      </c>
      <c r="E778" s="1" t="str">
        <f t="shared" si="259"/>
        <v>治疗费</v>
      </c>
    </row>
    <row r="779" spans="1:5">
      <c r="A779" s="1" t="str">
        <f>"电诊断"</f>
        <v>电诊断</v>
      </c>
      <c r="B779" s="1">
        <v>15</v>
      </c>
      <c r="C779" s="1" t="str">
        <f>"根"</f>
        <v>根</v>
      </c>
      <c r="D779" s="1" t="str">
        <f>"每根"</f>
        <v>每根</v>
      </c>
      <c r="E779" s="1" t="str">
        <f t="shared" si="259"/>
        <v>治疗费</v>
      </c>
    </row>
    <row r="780" spans="1:5">
      <c r="A780" s="1" t="str">
        <f>"直流电治疗"</f>
        <v>直流电治疗</v>
      </c>
      <c r="B780" s="1">
        <v>8</v>
      </c>
      <c r="C780" s="1" t="str">
        <f>"每部位"</f>
        <v>每部位</v>
      </c>
      <c r="D780" s="1" t="str">
        <f t="shared" si="260"/>
        <v>每部位</v>
      </c>
      <c r="E780" s="1" t="str">
        <f t="shared" si="259"/>
        <v>治疗费</v>
      </c>
    </row>
    <row r="781" spans="1:5">
      <c r="A781" s="1" t="str">
        <f>"低频脉冲功能性电刺激治疗"</f>
        <v>低频脉冲功能性电刺激治疗</v>
      </c>
      <c r="B781" s="1">
        <v>8</v>
      </c>
      <c r="C781" s="1" t="str">
        <f>"每部位"</f>
        <v>每部位</v>
      </c>
      <c r="D781" s="1" t="str">
        <f t="shared" si="260"/>
        <v>每部位</v>
      </c>
      <c r="E781" s="1" t="str">
        <f t="shared" si="259"/>
        <v>治疗费</v>
      </c>
    </row>
    <row r="782" spans="1:5">
      <c r="A782" s="1" t="str">
        <f>"低周波治疗"</f>
        <v>低周波治疗</v>
      </c>
      <c r="B782" s="1">
        <v>11</v>
      </c>
      <c r="C782" s="1" t="str">
        <f t="shared" ref="C782:C787" si="261">"次"</f>
        <v>次</v>
      </c>
      <c r="D782" s="1" t="str">
        <f t="shared" ref="D782:D787" si="262">"次"</f>
        <v>次</v>
      </c>
      <c r="E782" s="1" t="str">
        <f t="shared" si="259"/>
        <v>治疗费</v>
      </c>
    </row>
    <row r="783" spans="1:5">
      <c r="A783" s="1" t="str">
        <f>"中频脉冲电治疗"</f>
        <v>中频脉冲电治疗</v>
      </c>
      <c r="B783" s="1">
        <v>10</v>
      </c>
      <c r="C783" s="1" t="str">
        <f>"部位"</f>
        <v>部位</v>
      </c>
      <c r="D783" s="1" t="str">
        <f>"每部位"</f>
        <v>每部位</v>
      </c>
      <c r="E783" s="1" t="str">
        <f t="shared" si="259"/>
        <v>治疗费</v>
      </c>
    </row>
    <row r="784" spans="1:5">
      <c r="A784" s="1" t="str">
        <f>"共鸣火花治疗"</f>
        <v>共鸣火花治疗</v>
      </c>
      <c r="B784" s="1">
        <v>5</v>
      </c>
      <c r="C784" s="1" t="str">
        <f t="shared" si="261"/>
        <v>次</v>
      </c>
      <c r="D784" s="1" t="str">
        <f t="shared" si="262"/>
        <v>次</v>
      </c>
      <c r="E784" s="1" t="str">
        <f t="shared" si="259"/>
        <v>治疗费</v>
      </c>
    </row>
    <row r="785" spans="1:5">
      <c r="A785" s="1" t="str">
        <f>"超短波治疗"</f>
        <v>超短波治疗</v>
      </c>
      <c r="B785" s="1">
        <v>10</v>
      </c>
      <c r="C785" s="1" t="str">
        <f>"部位"</f>
        <v>部位</v>
      </c>
      <c r="D785" s="1" t="str">
        <f>"每个 部位"</f>
        <v>每个 部位</v>
      </c>
      <c r="E785" s="1" t="str">
        <f t="shared" si="259"/>
        <v>治疗费</v>
      </c>
    </row>
    <row r="786" spans="1:5">
      <c r="A786" s="1" t="str">
        <f>"微波治疗"</f>
        <v>微波治疗</v>
      </c>
      <c r="B786" s="1">
        <v>12</v>
      </c>
      <c r="C786" s="1" t="str">
        <f>"每部位"</f>
        <v>每部位</v>
      </c>
      <c r="D786" s="1" t="str">
        <f>"每部位"</f>
        <v>每部位</v>
      </c>
      <c r="E786" s="1" t="str">
        <f t="shared" si="259"/>
        <v>治疗费</v>
      </c>
    </row>
    <row r="787" spans="1:5">
      <c r="A787" s="1" t="str">
        <f>"射频电疗"</f>
        <v>射频电疗</v>
      </c>
      <c r="B787" s="1">
        <v>30</v>
      </c>
      <c r="C787" s="1" t="str">
        <f t="shared" si="261"/>
        <v>次</v>
      </c>
      <c r="D787" s="1" t="str">
        <f t="shared" si="262"/>
        <v>次</v>
      </c>
      <c r="E787" s="1" t="str">
        <f t="shared" si="259"/>
        <v>治疗费</v>
      </c>
    </row>
    <row r="788" spans="1:5">
      <c r="A788" s="1" t="str">
        <f>"静电治疗"</f>
        <v>静电治疗</v>
      </c>
      <c r="B788" s="1">
        <v>20</v>
      </c>
      <c r="C788" s="1" t="str">
        <f>"半小时"</f>
        <v>半小时</v>
      </c>
      <c r="D788" s="1" t="str">
        <f>"半小时"</f>
        <v>半小时</v>
      </c>
      <c r="E788" s="1" t="str">
        <f t="shared" si="259"/>
        <v>治疗费</v>
      </c>
    </row>
    <row r="789" spans="1:5">
      <c r="A789" s="1" t="str">
        <f>"空气负离子治疗"</f>
        <v>空气负离子治疗</v>
      </c>
      <c r="B789" s="1">
        <v>3</v>
      </c>
      <c r="C789" s="1" t="str">
        <f t="shared" ref="C789:C792" si="263">"次"</f>
        <v>次</v>
      </c>
      <c r="D789" s="1" t="str">
        <f t="shared" ref="D789:D793" si="264">"次"</f>
        <v>次</v>
      </c>
      <c r="E789" s="1" t="str">
        <f t="shared" si="259"/>
        <v>治疗费</v>
      </c>
    </row>
    <row r="790" spans="1:5">
      <c r="A790" s="1" t="str">
        <f>"超声波治疗"</f>
        <v>超声波治疗</v>
      </c>
      <c r="B790" s="1">
        <v>10</v>
      </c>
      <c r="C790" s="1" t="str">
        <f t="shared" si="263"/>
        <v>次</v>
      </c>
      <c r="D790" s="1" t="str">
        <f>"每5分钟"</f>
        <v>每5分钟</v>
      </c>
      <c r="E790" s="1" t="str">
        <f t="shared" si="259"/>
        <v>治疗费</v>
      </c>
    </row>
    <row r="791" spans="1:5">
      <c r="A791" s="1" t="str">
        <f>"电子生物反馈疗法"</f>
        <v>电子生物反馈疗法</v>
      </c>
      <c r="B791" s="1">
        <v>20</v>
      </c>
      <c r="C791" s="1" t="str">
        <f t="shared" si="263"/>
        <v>次</v>
      </c>
      <c r="D791" s="1" t="str">
        <f t="shared" si="264"/>
        <v>次</v>
      </c>
      <c r="E791" s="1" t="str">
        <f t="shared" si="259"/>
        <v>治疗费</v>
      </c>
    </row>
    <row r="792" spans="1:5">
      <c r="A792" s="1" t="str">
        <f>"磁疗"</f>
        <v>磁疗</v>
      </c>
      <c r="B792" s="1">
        <v>8</v>
      </c>
      <c r="C792" s="1" t="str">
        <f t="shared" si="263"/>
        <v>次</v>
      </c>
      <c r="D792" s="1" t="str">
        <f t="shared" si="264"/>
        <v>次</v>
      </c>
      <c r="E792" s="1" t="str">
        <f t="shared" si="259"/>
        <v>治疗费</v>
      </c>
    </row>
    <row r="793" spans="1:5">
      <c r="A793" s="1" t="str">
        <f>"气泡浴治疗"</f>
        <v>气泡浴治疗</v>
      </c>
      <c r="B793" s="1">
        <v>15</v>
      </c>
      <c r="C793" s="1" t="str">
        <f>"每20分钟"</f>
        <v>每20分钟</v>
      </c>
      <c r="D793" s="1" t="str">
        <f t="shared" si="264"/>
        <v>次</v>
      </c>
      <c r="E793" s="1" t="str">
        <f t="shared" si="259"/>
        <v>治疗费</v>
      </c>
    </row>
    <row r="794" spans="1:5">
      <c r="A794" s="1" t="str">
        <f>"蜡疗"</f>
        <v>蜡疗</v>
      </c>
      <c r="B794" s="1">
        <v>7</v>
      </c>
      <c r="C794" s="1" t="str">
        <f t="shared" ref="C794:C797" si="265">"每部位"</f>
        <v>每部位</v>
      </c>
      <c r="D794" s="1" t="str">
        <f t="shared" ref="D794:D797" si="266">"每部位"</f>
        <v>每部位</v>
      </c>
      <c r="E794" s="1" t="str">
        <f t="shared" si="259"/>
        <v>治疗费</v>
      </c>
    </row>
    <row r="795" spans="1:5">
      <c r="A795" s="1" t="str">
        <f>"牵引"</f>
        <v>牵引</v>
      </c>
      <c r="B795" s="1">
        <v>25</v>
      </c>
      <c r="C795" s="1" t="str">
        <f t="shared" ref="C795:C800" si="267">"次"</f>
        <v>次</v>
      </c>
      <c r="D795" s="1" t="str">
        <f t="shared" ref="D795:D800" si="268">"次"</f>
        <v>次</v>
      </c>
      <c r="E795" s="1" t="str">
        <f t="shared" si="259"/>
        <v>治疗费</v>
      </c>
    </row>
    <row r="796" spans="1:5">
      <c r="A796" s="1" t="str">
        <f>"气压治疗"</f>
        <v>气压治疗</v>
      </c>
      <c r="B796" s="1">
        <v>8</v>
      </c>
      <c r="C796" s="1" t="str">
        <f t="shared" si="265"/>
        <v>每部位</v>
      </c>
      <c r="D796" s="1" t="str">
        <f t="shared" si="266"/>
        <v>每部位</v>
      </c>
      <c r="E796" s="1" t="str">
        <f t="shared" si="259"/>
        <v>治疗费</v>
      </c>
    </row>
    <row r="797" spans="1:5">
      <c r="A797" s="1" t="str">
        <f>"冷疗"</f>
        <v>冷疗</v>
      </c>
      <c r="B797" s="1">
        <v>5</v>
      </c>
      <c r="C797" s="1" t="str">
        <f t="shared" si="265"/>
        <v>每部位</v>
      </c>
      <c r="D797" s="1" t="str">
        <f t="shared" si="266"/>
        <v>每部位</v>
      </c>
      <c r="E797" s="1" t="str">
        <f t="shared" si="259"/>
        <v>治疗费</v>
      </c>
    </row>
    <row r="798" spans="1:5">
      <c r="A798" s="1" t="str">
        <f>"电按摩"</f>
        <v>电按摩</v>
      </c>
      <c r="B798" s="1">
        <v>8</v>
      </c>
      <c r="C798" s="1" t="str">
        <f t="shared" si="267"/>
        <v>次</v>
      </c>
      <c r="D798" s="1" t="str">
        <f t="shared" si="268"/>
        <v>次</v>
      </c>
      <c r="E798" s="1" t="str">
        <f t="shared" si="259"/>
        <v>治疗费</v>
      </c>
    </row>
    <row r="799" spans="1:5">
      <c r="A799" s="1" t="str">
        <f>"场效应治疗"</f>
        <v>场效应治疗</v>
      </c>
      <c r="B799" s="1">
        <v>5</v>
      </c>
      <c r="C799" s="1" t="str">
        <f>"每部位"</f>
        <v>每部位</v>
      </c>
      <c r="D799" s="1" t="str">
        <f>"每部位"</f>
        <v>每部位</v>
      </c>
      <c r="E799" s="1" t="str">
        <f t="shared" si="259"/>
        <v>治疗费</v>
      </c>
    </row>
    <row r="800" spans="1:5">
      <c r="A800" s="1" t="str">
        <f>"多频振动治疗"</f>
        <v>多频振动治疗</v>
      </c>
      <c r="B800" s="1">
        <v>40</v>
      </c>
      <c r="C800" s="1" t="str">
        <f t="shared" si="267"/>
        <v>次</v>
      </c>
      <c r="D800" s="1" t="str">
        <f t="shared" si="268"/>
        <v>次</v>
      </c>
      <c r="E800" s="1" t="str">
        <f t="shared" si="259"/>
        <v>治疗费</v>
      </c>
    </row>
    <row r="801" spans="1:5">
      <c r="A801" s="1" t="str">
        <f>"智力测试DDST"</f>
        <v>智力测试DDST</v>
      </c>
      <c r="B801" s="1">
        <v>39</v>
      </c>
      <c r="C801" s="1" t="str">
        <f>"项"</f>
        <v>项</v>
      </c>
      <c r="D801" s="1" t="str">
        <f>"项"</f>
        <v>项</v>
      </c>
      <c r="E801" s="1" t="str">
        <f t="shared" ref="E801:E811" si="269">"检查费"</f>
        <v>检查费</v>
      </c>
    </row>
    <row r="802" spans="1:5">
      <c r="A802" s="1" t="str">
        <f>"徒手平衡功能检查"</f>
        <v>徒手平衡功能检查</v>
      </c>
      <c r="B802" s="1">
        <v>13</v>
      </c>
      <c r="C802" s="1" t="str">
        <f t="shared" ref="C802:C811" si="270">"次"</f>
        <v>次</v>
      </c>
      <c r="D802" s="1" t="str">
        <f t="shared" ref="D802:D813" si="271">"次"</f>
        <v>次</v>
      </c>
      <c r="E802" s="1" t="str">
        <f t="shared" si="269"/>
        <v>检查费</v>
      </c>
    </row>
    <row r="803" spans="1:5">
      <c r="A803" s="1" t="str">
        <f>"日常生活能力评定"</f>
        <v>日常生活能力评定</v>
      </c>
      <c r="B803" s="1">
        <v>13</v>
      </c>
      <c r="C803" s="1" t="str">
        <f t="shared" si="270"/>
        <v>次</v>
      </c>
      <c r="D803" s="1" t="str">
        <f t="shared" si="271"/>
        <v>次</v>
      </c>
      <c r="E803" s="1" t="str">
        <f>"治疗费"</f>
        <v>治疗费</v>
      </c>
    </row>
    <row r="804" spans="1:5">
      <c r="A804" s="1" t="str">
        <f>"疲劳度测定"</f>
        <v>疲劳度测定</v>
      </c>
      <c r="B804" s="1">
        <v>13</v>
      </c>
      <c r="C804" s="1" t="str">
        <f t="shared" si="270"/>
        <v>次</v>
      </c>
      <c r="D804" s="1" t="str">
        <f>"每次"</f>
        <v>每次</v>
      </c>
      <c r="E804" s="1" t="str">
        <f t="shared" si="269"/>
        <v>检查费</v>
      </c>
    </row>
    <row r="805" spans="1:5">
      <c r="A805" s="1" t="str">
        <f>"言语能力评定"</f>
        <v>言语能力评定</v>
      </c>
      <c r="B805" s="1">
        <v>13</v>
      </c>
      <c r="C805" s="1" t="str">
        <f t="shared" si="270"/>
        <v>次</v>
      </c>
      <c r="D805" s="1" t="str">
        <f t="shared" si="271"/>
        <v>次</v>
      </c>
      <c r="E805" s="1" t="str">
        <f t="shared" si="269"/>
        <v>检查费</v>
      </c>
    </row>
    <row r="806" spans="1:5">
      <c r="A806" s="1" t="str">
        <f>"口吃检查"</f>
        <v>口吃检查</v>
      </c>
      <c r="B806" s="1">
        <v>13</v>
      </c>
      <c r="C806" s="1" t="str">
        <f t="shared" si="270"/>
        <v>次</v>
      </c>
      <c r="D806" s="1" t="str">
        <f t="shared" si="271"/>
        <v>次</v>
      </c>
      <c r="E806" s="1" t="str">
        <f t="shared" si="269"/>
        <v>检查费</v>
      </c>
    </row>
    <row r="807" spans="1:5">
      <c r="A807" s="1" t="str">
        <f>"认知知觉功能检查"</f>
        <v>认知知觉功能检查</v>
      </c>
      <c r="B807" s="1">
        <v>13</v>
      </c>
      <c r="C807" s="1" t="str">
        <f t="shared" si="270"/>
        <v>次</v>
      </c>
      <c r="D807" s="1" t="str">
        <f t="shared" si="271"/>
        <v>次</v>
      </c>
      <c r="E807" s="1" t="str">
        <f t="shared" si="269"/>
        <v>检查费</v>
      </c>
    </row>
    <row r="808" spans="1:5">
      <c r="A808" s="1" t="str">
        <f>"记忆力评定"</f>
        <v>记忆力评定</v>
      </c>
      <c r="B808" s="1">
        <v>13</v>
      </c>
      <c r="C808" s="1" t="str">
        <f t="shared" si="270"/>
        <v>次</v>
      </c>
      <c r="D808" s="1" t="str">
        <f t="shared" si="271"/>
        <v>次</v>
      </c>
      <c r="E808" s="1" t="str">
        <f t="shared" si="269"/>
        <v>检查费</v>
      </c>
    </row>
    <row r="809" spans="1:5">
      <c r="A809" s="1" t="str">
        <f>"失认失用评定"</f>
        <v>失认失用评定</v>
      </c>
      <c r="B809" s="1">
        <v>13</v>
      </c>
      <c r="C809" s="1" t="str">
        <f t="shared" si="270"/>
        <v>次</v>
      </c>
      <c r="D809" s="1" t="str">
        <f t="shared" si="271"/>
        <v>次</v>
      </c>
      <c r="E809" s="1" t="str">
        <f t="shared" si="269"/>
        <v>检查费</v>
      </c>
    </row>
    <row r="810" spans="1:5">
      <c r="A810" s="1" t="str">
        <f>"记忆广度检查"</f>
        <v>记忆广度检查</v>
      </c>
      <c r="B810" s="1">
        <v>13</v>
      </c>
      <c r="C810" s="1" t="str">
        <f t="shared" si="270"/>
        <v>次</v>
      </c>
      <c r="D810" s="1" t="str">
        <f t="shared" si="271"/>
        <v>次</v>
      </c>
      <c r="E810" s="1" t="str">
        <f t="shared" si="269"/>
        <v>检查费</v>
      </c>
    </row>
    <row r="811" spans="1:5">
      <c r="A811" s="1" t="str">
        <f>"心功能康复评定"</f>
        <v>心功能康复评定</v>
      </c>
      <c r="B811" s="1">
        <v>52</v>
      </c>
      <c r="C811" s="1" t="str">
        <f t="shared" si="270"/>
        <v>次</v>
      </c>
      <c r="D811" s="1" t="str">
        <f t="shared" si="271"/>
        <v>次</v>
      </c>
      <c r="E811" s="1" t="str">
        <f t="shared" si="269"/>
        <v>检查费</v>
      </c>
    </row>
    <row r="812" spans="1:5">
      <c r="A812" s="1" t="str">
        <f>"器械训练"</f>
        <v>器械训练</v>
      </c>
      <c r="B812" s="1">
        <v>13</v>
      </c>
      <c r="C812" s="1">
        <v>1</v>
      </c>
      <c r="D812" s="1" t="str">
        <f t="shared" si="271"/>
        <v>次</v>
      </c>
      <c r="E812" s="1" t="str">
        <f t="shared" ref="E812:E834" si="272">"治疗费"</f>
        <v>治疗费</v>
      </c>
    </row>
    <row r="813" spans="1:5">
      <c r="A813" s="1" t="str">
        <f>"步态平衡功能训练"</f>
        <v>步态平衡功能训练</v>
      </c>
      <c r="B813" s="1">
        <v>13</v>
      </c>
      <c r="C813" s="1" t="str">
        <f t="shared" ref="C813:C834" si="273">"次"</f>
        <v>次</v>
      </c>
      <c r="D813" s="1" t="str">
        <f t="shared" si="271"/>
        <v>次</v>
      </c>
      <c r="E813" s="1" t="str">
        <f t="shared" si="272"/>
        <v>治疗费</v>
      </c>
    </row>
    <row r="814" spans="1:5">
      <c r="A814" s="1" t="str">
        <f>"各关节活动度训练"</f>
        <v>各关节活动度训练</v>
      </c>
      <c r="B814" s="1">
        <v>13</v>
      </c>
      <c r="C814" s="1" t="str">
        <f>"部位"</f>
        <v>部位</v>
      </c>
      <c r="D814" s="1" t="str">
        <f>"每个 部位"</f>
        <v>每个 部位</v>
      </c>
      <c r="E814" s="1" t="str">
        <f t="shared" si="272"/>
        <v>治疗费</v>
      </c>
    </row>
    <row r="815" spans="1:5">
      <c r="A815" s="1" t="str">
        <f>"全身肌力训练"</f>
        <v>全身肌力训练</v>
      </c>
      <c r="B815" s="1">
        <v>13</v>
      </c>
      <c r="C815" s="1" t="str">
        <f t="shared" si="273"/>
        <v>次</v>
      </c>
      <c r="D815" s="1" t="str">
        <f t="shared" ref="D815:D834" si="274">"次"</f>
        <v>次</v>
      </c>
      <c r="E815" s="1" t="str">
        <f t="shared" si="272"/>
        <v>治疗费</v>
      </c>
    </row>
    <row r="816" spans="1:5">
      <c r="A816" s="1" t="str">
        <f>"徒手体操"</f>
        <v>徒手体操</v>
      </c>
      <c r="B816" s="1">
        <v>13</v>
      </c>
      <c r="C816" s="1" t="str">
        <f t="shared" si="273"/>
        <v>次</v>
      </c>
      <c r="D816" s="1" t="str">
        <f t="shared" si="274"/>
        <v>次</v>
      </c>
      <c r="E816" s="1" t="str">
        <f t="shared" si="272"/>
        <v>治疗费</v>
      </c>
    </row>
    <row r="817" spans="1:5">
      <c r="A817" s="1" t="str">
        <f>"减重支持系统训练"</f>
        <v>减重支持系统训练</v>
      </c>
      <c r="B817" s="1">
        <v>39</v>
      </c>
      <c r="C817" s="1" t="str">
        <f t="shared" si="273"/>
        <v>次</v>
      </c>
      <c r="D817" s="1" t="str">
        <f t="shared" si="274"/>
        <v>次</v>
      </c>
      <c r="E817" s="1" t="str">
        <f t="shared" si="272"/>
        <v>治疗费</v>
      </c>
    </row>
    <row r="818" spans="1:5">
      <c r="A818" s="1" t="str">
        <f>"轮椅功能训练"</f>
        <v>轮椅功能训练</v>
      </c>
      <c r="B818" s="1">
        <v>13</v>
      </c>
      <c r="C818" s="1" t="str">
        <f t="shared" si="273"/>
        <v>次</v>
      </c>
      <c r="D818" s="1" t="str">
        <f t="shared" si="274"/>
        <v>次</v>
      </c>
      <c r="E818" s="1" t="str">
        <f t="shared" si="272"/>
        <v>治疗费</v>
      </c>
    </row>
    <row r="819" spans="1:5">
      <c r="A819" s="1" t="str">
        <f>"平衡功能训练"</f>
        <v>平衡功能训练</v>
      </c>
      <c r="B819" s="1">
        <v>7.8</v>
      </c>
      <c r="C819" s="1" t="str">
        <f t="shared" si="273"/>
        <v>次</v>
      </c>
      <c r="D819" s="1" t="str">
        <f t="shared" si="274"/>
        <v>次</v>
      </c>
      <c r="E819" s="1" t="str">
        <f t="shared" si="272"/>
        <v>治疗费</v>
      </c>
    </row>
    <row r="820" spans="1:5">
      <c r="A820" s="1" t="str">
        <f>"关节松动训练"</f>
        <v>关节松动训练</v>
      </c>
      <c r="B820" s="1">
        <v>33</v>
      </c>
      <c r="C820" s="1" t="str">
        <f t="shared" si="273"/>
        <v>次</v>
      </c>
      <c r="D820" s="1" t="str">
        <f t="shared" si="274"/>
        <v>次</v>
      </c>
      <c r="E820" s="1" t="str">
        <f t="shared" si="272"/>
        <v>治疗费</v>
      </c>
    </row>
    <row r="821" spans="1:5">
      <c r="A821" s="1" t="str">
        <f>"有氧训练"</f>
        <v>有氧训练</v>
      </c>
      <c r="B821" s="1">
        <v>26</v>
      </c>
      <c r="C821" s="1" t="str">
        <f t="shared" si="273"/>
        <v>次</v>
      </c>
      <c r="D821" s="1" t="str">
        <f t="shared" si="274"/>
        <v>次</v>
      </c>
      <c r="E821" s="1" t="str">
        <f t="shared" si="272"/>
        <v>治疗费</v>
      </c>
    </row>
    <row r="822" spans="1:5">
      <c r="A822" s="1" t="str">
        <f>"文体训练"</f>
        <v>文体训练</v>
      </c>
      <c r="B822" s="1">
        <v>13</v>
      </c>
      <c r="C822" s="1" t="str">
        <f t="shared" si="273"/>
        <v>次</v>
      </c>
      <c r="D822" s="1" t="str">
        <f t="shared" si="274"/>
        <v>次</v>
      </c>
      <c r="E822" s="1" t="str">
        <f t="shared" si="272"/>
        <v>治疗费</v>
      </c>
    </row>
    <row r="823" spans="1:5">
      <c r="A823" s="1" t="str">
        <f>"引导式教育训练"</f>
        <v>引导式教育训练</v>
      </c>
      <c r="B823" s="1">
        <v>13</v>
      </c>
      <c r="C823" s="1" t="str">
        <f t="shared" si="273"/>
        <v>次</v>
      </c>
      <c r="D823" s="1" t="str">
        <f t="shared" si="274"/>
        <v>次</v>
      </c>
      <c r="E823" s="1" t="str">
        <f t="shared" si="272"/>
        <v>治疗费</v>
      </c>
    </row>
    <row r="824" spans="1:5">
      <c r="A824" s="1" t="str">
        <f>"等速肌力训练"</f>
        <v>等速肌力训练</v>
      </c>
      <c r="B824" s="1">
        <v>20</v>
      </c>
      <c r="C824" s="1" t="str">
        <f t="shared" si="273"/>
        <v>次</v>
      </c>
      <c r="D824" s="1" t="str">
        <f t="shared" si="274"/>
        <v>次</v>
      </c>
      <c r="E824" s="1" t="str">
        <f t="shared" si="272"/>
        <v>治疗费</v>
      </c>
    </row>
    <row r="825" spans="1:5">
      <c r="A825" s="1" t="str">
        <f>"作业疗法"</f>
        <v>作业疗法</v>
      </c>
      <c r="B825" s="1">
        <v>20</v>
      </c>
      <c r="C825" s="1" t="str">
        <f t="shared" si="273"/>
        <v>次</v>
      </c>
      <c r="D825" s="1" t="str">
        <f t="shared" si="274"/>
        <v>次</v>
      </c>
      <c r="E825" s="1" t="str">
        <f t="shared" si="272"/>
        <v>治疗费</v>
      </c>
    </row>
    <row r="826" spans="1:5">
      <c r="A826" s="1" t="str">
        <f>"职业功能训练"</f>
        <v>职业功能训练</v>
      </c>
      <c r="B826" s="1">
        <v>26</v>
      </c>
      <c r="C826" s="1" t="str">
        <f t="shared" si="273"/>
        <v>次</v>
      </c>
      <c r="D826" s="1" t="str">
        <f t="shared" si="274"/>
        <v>次</v>
      </c>
      <c r="E826" s="1" t="str">
        <f t="shared" si="272"/>
        <v>治疗费</v>
      </c>
    </row>
    <row r="827" spans="1:5">
      <c r="A827" s="1" t="str">
        <f>"口吃训练"</f>
        <v>口吃训练</v>
      </c>
      <c r="B827" s="1">
        <v>20</v>
      </c>
      <c r="C827" s="1" t="str">
        <f t="shared" si="273"/>
        <v>次</v>
      </c>
      <c r="D827" s="1" t="str">
        <f t="shared" si="274"/>
        <v>次</v>
      </c>
      <c r="E827" s="1" t="str">
        <f t="shared" si="272"/>
        <v>治疗费</v>
      </c>
    </row>
    <row r="828" spans="1:5">
      <c r="A828" s="1" t="str">
        <f>"言语训练"</f>
        <v>言语训练</v>
      </c>
      <c r="B828" s="1">
        <v>26</v>
      </c>
      <c r="C828" s="1" t="str">
        <f t="shared" si="273"/>
        <v>次</v>
      </c>
      <c r="D828" s="1" t="str">
        <f t="shared" si="274"/>
        <v>次</v>
      </c>
      <c r="E828" s="1" t="str">
        <f t="shared" si="272"/>
        <v>治疗费</v>
      </c>
    </row>
    <row r="829" spans="1:5">
      <c r="A829" s="1" t="str">
        <f>"儿童听力障碍语言训练"</f>
        <v>儿童听力障碍语言训练</v>
      </c>
      <c r="B829" s="1">
        <v>26</v>
      </c>
      <c r="C829" s="1" t="str">
        <f t="shared" si="273"/>
        <v>次</v>
      </c>
      <c r="D829" s="1" t="str">
        <f t="shared" si="274"/>
        <v>次</v>
      </c>
      <c r="E829" s="1" t="str">
        <f t="shared" si="272"/>
        <v>治疗费</v>
      </c>
    </row>
    <row r="830" spans="1:5">
      <c r="A830" s="1" t="str">
        <f>"构音障碍训练"</f>
        <v>构音障碍训练</v>
      </c>
      <c r="B830" s="1">
        <v>13</v>
      </c>
      <c r="C830" s="1" t="str">
        <f t="shared" si="273"/>
        <v>次</v>
      </c>
      <c r="D830" s="1" t="str">
        <f t="shared" si="274"/>
        <v>次</v>
      </c>
      <c r="E830" s="1" t="str">
        <f t="shared" si="272"/>
        <v>治疗费</v>
      </c>
    </row>
    <row r="831" spans="1:5">
      <c r="A831" s="1" t="str">
        <f>"认知知觉功能障碍训练"</f>
        <v>认知知觉功能障碍训练</v>
      </c>
      <c r="B831" s="1">
        <v>13</v>
      </c>
      <c r="C831" s="1" t="str">
        <f t="shared" si="273"/>
        <v>次</v>
      </c>
      <c r="D831" s="1" t="str">
        <f t="shared" si="274"/>
        <v>次</v>
      </c>
      <c r="E831" s="1" t="str">
        <f t="shared" si="272"/>
        <v>治疗费</v>
      </c>
    </row>
    <row r="832" spans="1:5">
      <c r="A832" s="1" t="str">
        <f>"偏瘫肢体综合训练"</f>
        <v>偏瘫肢体综合训练</v>
      </c>
      <c r="B832" s="1">
        <v>52</v>
      </c>
      <c r="C832" s="1" t="str">
        <f t="shared" si="273"/>
        <v>次</v>
      </c>
      <c r="D832" s="1" t="str">
        <f t="shared" si="274"/>
        <v>次</v>
      </c>
      <c r="E832" s="1" t="str">
        <f t="shared" si="272"/>
        <v>治疗费</v>
      </c>
    </row>
    <row r="833" spans="1:5">
      <c r="A833" s="1" t="str">
        <f>"脑瘫肢体综合训练"</f>
        <v>脑瘫肢体综合训练</v>
      </c>
      <c r="B833" s="1">
        <v>52</v>
      </c>
      <c r="C833" s="1" t="str">
        <f t="shared" si="273"/>
        <v>次</v>
      </c>
      <c r="D833" s="1" t="str">
        <f t="shared" si="274"/>
        <v>次</v>
      </c>
      <c r="E833" s="1" t="str">
        <f t="shared" si="272"/>
        <v>治疗费</v>
      </c>
    </row>
    <row r="834" spans="1:5">
      <c r="A834" s="1" t="str">
        <f>"截瘫肢体综合训练"</f>
        <v>截瘫肢体综合训练</v>
      </c>
      <c r="B834" s="1">
        <v>39</v>
      </c>
      <c r="C834" s="1" t="str">
        <f t="shared" si="273"/>
        <v>次</v>
      </c>
      <c r="D834" s="1" t="str">
        <f t="shared" si="274"/>
        <v>次</v>
      </c>
      <c r="E834" s="1" t="str">
        <f t="shared" si="272"/>
        <v>治疗费</v>
      </c>
    </row>
    <row r="835" spans="1:5">
      <c r="A835" s="1" t="str">
        <f>"骨折手法整复术"</f>
        <v>骨折手法整复术</v>
      </c>
      <c r="B835" s="1">
        <v>160</v>
      </c>
      <c r="C835" s="1" t="str">
        <f t="shared" ref="C835:C843" si="275">"次"</f>
        <v>次</v>
      </c>
      <c r="D835" s="1" t="str">
        <f t="shared" ref="D835:D842" si="276">"次"</f>
        <v>次</v>
      </c>
      <c r="E835" s="1" t="str">
        <f>"手术费"</f>
        <v>手术费</v>
      </c>
    </row>
    <row r="836" spans="1:5">
      <c r="A836" s="1" t="str">
        <f>"骨折手法整复术掌(跖)、指(趾)骨折按脱位"</f>
        <v>骨折手法整复术掌(跖)、指(趾)骨折按脱位</v>
      </c>
      <c r="B836" s="1">
        <v>78</v>
      </c>
      <c r="C836" s="1" t="str">
        <f t="shared" si="275"/>
        <v>次</v>
      </c>
      <c r="D836" s="1" t="str">
        <f t="shared" si="276"/>
        <v>次</v>
      </c>
      <c r="E836" s="1" t="str">
        <f>"手术费"</f>
        <v>手术费</v>
      </c>
    </row>
    <row r="837" spans="1:5">
      <c r="A837" s="1" t="str">
        <f>"骨折橇拨复位术"</f>
        <v>骨折橇拨复位术</v>
      </c>
      <c r="B837" s="1">
        <v>289</v>
      </c>
      <c r="C837" s="1" t="str">
        <f t="shared" si="275"/>
        <v>次</v>
      </c>
      <c r="D837" s="1" t="str">
        <f t="shared" si="276"/>
        <v>次</v>
      </c>
      <c r="E837" s="1" t="str">
        <f t="shared" ref="E837:E841" si="277">"治疗费"</f>
        <v>治疗费</v>
      </c>
    </row>
    <row r="838" spans="1:5">
      <c r="A838" s="1" t="str">
        <f>"关节脱位手法整复术"</f>
        <v>关节脱位手法整复术</v>
      </c>
      <c r="B838" s="1">
        <v>102</v>
      </c>
      <c r="C838" s="1" t="str">
        <f t="shared" si="275"/>
        <v>次</v>
      </c>
      <c r="D838" s="1" t="str">
        <f t="shared" si="276"/>
        <v>次</v>
      </c>
      <c r="E838" s="1" t="str">
        <f t="shared" si="277"/>
        <v>治疗费</v>
      </c>
    </row>
    <row r="839" spans="1:5">
      <c r="A839" s="1" t="str">
        <f>"关节脱位手法整复术(髋关节）"</f>
        <v>关节脱位手法整复术(髋关节）</v>
      </c>
      <c r="B839" s="1">
        <v>184</v>
      </c>
      <c r="C839" s="1" t="str">
        <f t="shared" si="275"/>
        <v>次</v>
      </c>
      <c r="D839" s="1" t="str">
        <f t="shared" si="276"/>
        <v>次</v>
      </c>
      <c r="E839" s="1" t="str">
        <f t="shared" si="277"/>
        <v>治疗费</v>
      </c>
    </row>
    <row r="840" spans="1:5">
      <c r="A840" s="1" t="str">
        <f>"关节脱位手法整复术(下颌关节脱位、指(趾)间关节脱位)"</f>
        <v>关节脱位手法整复术(下颌关节脱位、指(趾)间关节脱位)</v>
      </c>
      <c r="B840" s="1">
        <v>46</v>
      </c>
      <c r="C840" s="1" t="str">
        <f t="shared" si="275"/>
        <v>次</v>
      </c>
      <c r="D840" s="1" t="str">
        <f t="shared" si="276"/>
        <v>次</v>
      </c>
      <c r="E840" s="1" t="str">
        <f t="shared" si="277"/>
        <v>治疗费</v>
      </c>
    </row>
    <row r="841" spans="1:5">
      <c r="A841" s="1" t="str">
        <f>"骨折外固定架固定术"</f>
        <v>骨折外固定架固定术</v>
      </c>
      <c r="B841" s="1">
        <v>215</v>
      </c>
      <c r="C841" s="1" t="str">
        <f t="shared" si="275"/>
        <v>次</v>
      </c>
      <c r="D841" s="1" t="str">
        <f t="shared" si="276"/>
        <v>次</v>
      </c>
      <c r="E841" s="1" t="str">
        <f t="shared" si="277"/>
        <v>治疗费</v>
      </c>
    </row>
    <row r="842" spans="1:5">
      <c r="A842" s="1" t="str">
        <f>"骨折夹板外固定术"</f>
        <v>骨折夹板外固定术</v>
      </c>
      <c r="B842" s="1">
        <v>145</v>
      </c>
      <c r="C842" s="1" t="str">
        <f t="shared" si="275"/>
        <v>次</v>
      </c>
      <c r="D842" s="1" t="str">
        <f t="shared" si="276"/>
        <v>次</v>
      </c>
      <c r="E842" s="1" t="str">
        <f>"手术费"</f>
        <v>手术费</v>
      </c>
    </row>
    <row r="843" spans="1:5">
      <c r="A843" s="1" t="str">
        <f>"手指骨折夹板外固定术"</f>
        <v>手指骨折夹板外固定术</v>
      </c>
      <c r="B843" s="1">
        <v>43</v>
      </c>
      <c r="C843" s="1" t="str">
        <f t="shared" si="275"/>
        <v>次</v>
      </c>
      <c r="D843" s="1" t="str">
        <f>"每个"</f>
        <v>每个</v>
      </c>
      <c r="E843" s="1" t="str">
        <f>"手术费"</f>
        <v>手术费</v>
      </c>
    </row>
    <row r="844" spans="1:5">
      <c r="A844" s="1" t="str">
        <f>"中医定向透药疗法"</f>
        <v>中医定向透药疗法</v>
      </c>
      <c r="B844" s="1">
        <v>37</v>
      </c>
      <c r="C844" s="1" t="str">
        <f>"部位"</f>
        <v>部位</v>
      </c>
      <c r="D844" s="1" t="str">
        <f>"每部位"</f>
        <v>每部位</v>
      </c>
      <c r="E844" s="1" t="str">
        <f t="shared" ref="E844:E849" si="278">"治疗费"</f>
        <v>治疗费</v>
      </c>
    </row>
    <row r="845" spans="1:5">
      <c r="A845" s="1" t="str">
        <f>"普通针刺"</f>
        <v>普通针刺</v>
      </c>
      <c r="B845" s="1">
        <v>34</v>
      </c>
      <c r="C845" s="1" t="str">
        <f t="shared" ref="C845:C847" si="279">"次"</f>
        <v>次</v>
      </c>
      <c r="D845" s="1" t="str">
        <f t="shared" ref="D845:D847" si="280">"次"</f>
        <v>次</v>
      </c>
      <c r="E845" s="1" t="str">
        <f t="shared" si="278"/>
        <v>治疗费</v>
      </c>
    </row>
    <row r="846" spans="1:5">
      <c r="A846" s="1" t="str">
        <f>"温针"</f>
        <v>温针</v>
      </c>
      <c r="B846" s="1">
        <v>39</v>
      </c>
      <c r="C846" s="1" t="str">
        <f t="shared" si="279"/>
        <v>次</v>
      </c>
      <c r="D846" s="1" t="str">
        <f t="shared" si="280"/>
        <v>次</v>
      </c>
      <c r="E846" s="1" t="str">
        <f t="shared" si="278"/>
        <v>治疗费</v>
      </c>
    </row>
    <row r="847" spans="1:5">
      <c r="A847" s="1" t="str">
        <f>"手指点穴"</f>
        <v>手指点穴</v>
      </c>
      <c r="B847" s="1">
        <v>22</v>
      </c>
      <c r="C847" s="1" t="str">
        <f t="shared" si="279"/>
        <v>次</v>
      </c>
      <c r="D847" s="1" t="str">
        <f t="shared" si="280"/>
        <v>次</v>
      </c>
      <c r="E847" s="1" t="str">
        <f t="shared" si="278"/>
        <v>治疗费</v>
      </c>
    </row>
    <row r="848" spans="1:5">
      <c r="A848" s="1" t="str">
        <f>"馋针"</f>
        <v>馋针</v>
      </c>
      <c r="B848" s="1">
        <v>9</v>
      </c>
      <c r="C848" s="1" t="str">
        <f>"每个部位"</f>
        <v>每个部位</v>
      </c>
      <c r="D848" s="1" t="str">
        <f>"每个部位"</f>
        <v>每个部位</v>
      </c>
      <c r="E848" s="1" t="str">
        <f t="shared" si="278"/>
        <v>治疗费</v>
      </c>
    </row>
    <row r="849" spans="1:5">
      <c r="A849" s="1" t="str">
        <f>"微针针刺"</f>
        <v>微针针刺</v>
      </c>
      <c r="B849" s="1">
        <v>33</v>
      </c>
      <c r="C849" s="1" t="str">
        <f t="shared" ref="C849:D854" si="281">"次"</f>
        <v>次</v>
      </c>
      <c r="D849" s="1" t="str">
        <f t="shared" si="281"/>
        <v>次</v>
      </c>
      <c r="E849" s="1" t="str">
        <f t="shared" si="278"/>
        <v>治疗费</v>
      </c>
    </row>
    <row r="850" spans="1:5">
      <c r="A850" s="1" t="str">
        <f>"锋钩针"</f>
        <v>锋钩针</v>
      </c>
      <c r="B850" s="1">
        <v>20</v>
      </c>
      <c r="C850" s="1" t="str">
        <f t="shared" si="281"/>
        <v>次</v>
      </c>
      <c r="D850" s="1" t="str">
        <f t="shared" si="281"/>
        <v>次</v>
      </c>
      <c r="E850" s="1" t="str">
        <f t="shared" ref="E850:E870" si="282">"治疗费"</f>
        <v>治疗费</v>
      </c>
    </row>
    <row r="851" spans="1:5">
      <c r="A851" s="1" t="str">
        <f>"头皮针"</f>
        <v>头皮针</v>
      </c>
      <c r="B851" s="1">
        <v>40</v>
      </c>
      <c r="C851" s="1" t="str">
        <f t="shared" si="281"/>
        <v>次</v>
      </c>
      <c r="D851" s="1" t="str">
        <f t="shared" si="281"/>
        <v>次</v>
      </c>
      <c r="E851" s="1" t="str">
        <f t="shared" si="282"/>
        <v>治疗费</v>
      </c>
    </row>
    <row r="852" spans="1:5">
      <c r="A852" s="1" t="str">
        <f>"眼针"</f>
        <v>眼针</v>
      </c>
      <c r="B852" s="1">
        <v>28</v>
      </c>
      <c r="C852" s="1" t="str">
        <f t="shared" si="281"/>
        <v>次</v>
      </c>
      <c r="D852" s="1" t="str">
        <f t="shared" si="281"/>
        <v>次</v>
      </c>
      <c r="E852" s="1" t="str">
        <f t="shared" si="282"/>
        <v>治疗费</v>
      </c>
    </row>
    <row r="853" spans="1:5">
      <c r="A853" s="1" t="str">
        <f>"梅花针"</f>
        <v>梅花针</v>
      </c>
      <c r="B853" s="1">
        <v>21</v>
      </c>
      <c r="C853" s="1" t="str">
        <f t="shared" si="281"/>
        <v>次</v>
      </c>
      <c r="D853" s="1" t="str">
        <f t="shared" si="281"/>
        <v>次</v>
      </c>
      <c r="E853" s="1" t="str">
        <f t="shared" si="282"/>
        <v>治疗费</v>
      </c>
    </row>
    <row r="854" spans="1:5">
      <c r="A854" s="1" t="str">
        <f>"火针"</f>
        <v>火针</v>
      </c>
      <c r="B854" s="1">
        <v>18</v>
      </c>
      <c r="C854" s="1" t="str">
        <f t="shared" si="281"/>
        <v>次</v>
      </c>
      <c r="D854" s="1" t="str">
        <f t="shared" si="281"/>
        <v>次</v>
      </c>
      <c r="E854" s="1" t="str">
        <f t="shared" si="282"/>
        <v>治疗费</v>
      </c>
    </row>
    <row r="855" spans="1:5">
      <c r="A855" s="1" t="str">
        <f>"埋针治疗"</f>
        <v>埋针治疗</v>
      </c>
      <c r="B855" s="1">
        <v>25</v>
      </c>
      <c r="C855" s="1" t="str">
        <f>"穴位"</f>
        <v>穴位</v>
      </c>
      <c r="D855" s="1" t="str">
        <f>"每个 穴位"</f>
        <v>每个 穴位</v>
      </c>
      <c r="E855" s="1" t="str">
        <f t="shared" si="282"/>
        <v>治疗费</v>
      </c>
    </row>
    <row r="856" spans="1:5">
      <c r="A856" s="1" t="str">
        <f>"穴位埋线治疗"</f>
        <v>穴位埋线治疗</v>
      </c>
      <c r="B856" s="1">
        <v>25</v>
      </c>
      <c r="C856" s="1" t="str">
        <f t="shared" ref="C856:C861" si="283">"次"</f>
        <v>次</v>
      </c>
      <c r="D856" s="1" t="str">
        <f>"每个 穴位"</f>
        <v>每个 穴位</v>
      </c>
      <c r="E856" s="1" t="str">
        <f t="shared" si="282"/>
        <v>治疗费</v>
      </c>
    </row>
    <row r="857" spans="1:5">
      <c r="A857" s="1" t="str">
        <f>"耳针"</f>
        <v>耳针</v>
      </c>
      <c r="B857" s="1">
        <v>24</v>
      </c>
      <c r="C857" s="1" t="str">
        <f>"单耳"</f>
        <v>单耳</v>
      </c>
      <c r="D857" s="1" t="str">
        <f>"单侧"</f>
        <v>单侧</v>
      </c>
      <c r="E857" s="1" t="str">
        <f t="shared" si="282"/>
        <v>治疗费</v>
      </c>
    </row>
    <row r="858" spans="1:5">
      <c r="A858" s="1" t="str">
        <f>"芒针"</f>
        <v>芒针</v>
      </c>
      <c r="B858" s="1">
        <v>21</v>
      </c>
      <c r="C858" s="1" t="str">
        <f t="shared" si="283"/>
        <v>次</v>
      </c>
      <c r="D858" s="1" t="str">
        <f t="shared" ref="D858:D861" si="284">"次"</f>
        <v>次</v>
      </c>
      <c r="E858" s="1" t="str">
        <f t="shared" si="282"/>
        <v>治疗费</v>
      </c>
    </row>
    <row r="859" spans="1:5">
      <c r="A859" s="1" t="str">
        <f>"针刺运动疗法"</f>
        <v>针刺运动疗法</v>
      </c>
      <c r="B859" s="1">
        <v>36</v>
      </c>
      <c r="C859" s="1" t="str">
        <f t="shared" si="283"/>
        <v>次</v>
      </c>
      <c r="D859" s="1" t="str">
        <f t="shared" si="284"/>
        <v>次</v>
      </c>
      <c r="E859" s="1" t="str">
        <f t="shared" si="282"/>
        <v>治疗费</v>
      </c>
    </row>
    <row r="860" spans="1:5">
      <c r="A860" s="1" t="str">
        <f>"针刺麻醉"</f>
        <v>针刺麻醉</v>
      </c>
      <c r="B860" s="1">
        <v>45</v>
      </c>
      <c r="C860" s="1" t="str">
        <f t="shared" si="283"/>
        <v>次</v>
      </c>
      <c r="D860" s="1" t="str">
        <f t="shared" si="284"/>
        <v>次</v>
      </c>
      <c r="E860" s="1" t="str">
        <f t="shared" si="282"/>
        <v>治疗费</v>
      </c>
    </row>
    <row r="861" spans="1:5">
      <c r="A861" s="1" t="str">
        <f>"电针"</f>
        <v>电针</v>
      </c>
      <c r="B861" s="1">
        <v>24</v>
      </c>
      <c r="C861" s="1" t="str">
        <f t="shared" si="283"/>
        <v>次</v>
      </c>
      <c r="D861" s="1" t="str">
        <f t="shared" si="284"/>
        <v>次</v>
      </c>
      <c r="E861" s="1" t="str">
        <f t="shared" si="282"/>
        <v>治疗费</v>
      </c>
    </row>
    <row r="862" spans="1:5">
      <c r="A862" s="1" t="str">
        <f>"浮针"</f>
        <v>浮针</v>
      </c>
      <c r="B862" s="1">
        <v>21</v>
      </c>
      <c r="C862" s="1" t="str">
        <f>"穴位"</f>
        <v>穴位</v>
      </c>
      <c r="D862" s="1" t="str">
        <f>"每个 穴位"</f>
        <v>每个 穴位</v>
      </c>
      <c r="E862" s="1" t="str">
        <f t="shared" si="282"/>
        <v>治疗费</v>
      </c>
    </row>
    <row r="863" spans="1:5">
      <c r="A863" s="1" t="str">
        <f>"微波针"</f>
        <v>微波针</v>
      </c>
      <c r="B863" s="1">
        <v>18</v>
      </c>
      <c r="C863" s="1" t="str">
        <f t="shared" ref="C863:C865" si="285">"次"</f>
        <v>次</v>
      </c>
      <c r="D863" s="1" t="str">
        <f t="shared" ref="D863:D865" si="286">"次"</f>
        <v>次</v>
      </c>
      <c r="E863" s="1" t="str">
        <f t="shared" si="282"/>
        <v>治疗费</v>
      </c>
    </row>
    <row r="864" spans="1:5">
      <c r="A864" s="1" t="str">
        <f>"激光针"</f>
        <v>激光针</v>
      </c>
      <c r="B864" s="1">
        <v>15</v>
      </c>
      <c r="C864" s="1" t="str">
        <f t="shared" si="285"/>
        <v>次</v>
      </c>
      <c r="D864" s="1" t="str">
        <f t="shared" si="286"/>
        <v>次</v>
      </c>
      <c r="E864" s="1" t="str">
        <f t="shared" si="282"/>
        <v>治疗费</v>
      </c>
    </row>
    <row r="865" spans="1:5">
      <c r="A865" s="1" t="str">
        <f>"磁热疗法"</f>
        <v>磁热疗法</v>
      </c>
      <c r="B865" s="1">
        <v>15</v>
      </c>
      <c r="C865" s="1" t="str">
        <f t="shared" si="285"/>
        <v>次</v>
      </c>
      <c r="D865" s="1" t="str">
        <f t="shared" si="286"/>
        <v>次</v>
      </c>
      <c r="E865" s="1" t="str">
        <f t="shared" si="282"/>
        <v>治疗费</v>
      </c>
    </row>
    <row r="866" spans="1:5">
      <c r="A866" s="1" t="str">
        <f>"穴位注射"</f>
        <v>穴位注射</v>
      </c>
      <c r="B866" s="1">
        <v>15</v>
      </c>
      <c r="C866" s="1" t="str">
        <f>"穴位"</f>
        <v>穴位</v>
      </c>
      <c r="D866" s="1" t="str">
        <f>"二个 穴位"</f>
        <v>二个 穴位</v>
      </c>
      <c r="E866" s="1" t="str">
        <f t="shared" si="282"/>
        <v>治疗费</v>
      </c>
    </row>
    <row r="867" spans="1:5">
      <c r="A867" s="1" t="str">
        <f>"子午流注开穴法"</f>
        <v>子午流注开穴法</v>
      </c>
      <c r="B867" s="1">
        <v>30</v>
      </c>
      <c r="C867" s="1" t="str">
        <f t="shared" ref="C867:C869" si="287">"次"</f>
        <v>次</v>
      </c>
      <c r="D867" s="1" t="str">
        <f t="shared" ref="D867:D869" si="288">"次"</f>
        <v>次</v>
      </c>
      <c r="E867" s="1" t="str">
        <f t="shared" si="282"/>
        <v>治疗费</v>
      </c>
    </row>
    <row r="868" spans="1:5">
      <c r="A868" s="1" t="str">
        <f>"经络穴位测评疗法"</f>
        <v>经络穴位测评疗法</v>
      </c>
      <c r="B868" s="1">
        <v>15</v>
      </c>
      <c r="C868" s="1" t="str">
        <f t="shared" si="287"/>
        <v>次</v>
      </c>
      <c r="D868" s="1" t="str">
        <f t="shared" si="288"/>
        <v>次</v>
      </c>
      <c r="E868" s="1" t="str">
        <f t="shared" si="282"/>
        <v>治疗费</v>
      </c>
    </row>
    <row r="869" spans="1:5">
      <c r="A869" s="1" t="str">
        <f>"通脑活络针刺"</f>
        <v>通脑活络针刺</v>
      </c>
      <c r="B869" s="1">
        <v>60</v>
      </c>
      <c r="C869" s="1" t="str">
        <f t="shared" si="287"/>
        <v>次</v>
      </c>
      <c r="D869" s="1" t="str">
        <f t="shared" si="288"/>
        <v>次</v>
      </c>
      <c r="E869" s="1" t="str">
        <f t="shared" si="282"/>
        <v>治疗费</v>
      </c>
    </row>
    <row r="870" spans="1:5">
      <c r="A870" s="1" t="str">
        <f>"小针刀治疗"</f>
        <v>小针刀治疗</v>
      </c>
      <c r="B870" s="1">
        <v>82</v>
      </c>
      <c r="C870" s="1" t="str">
        <f>"每个部位"</f>
        <v>每个部位</v>
      </c>
      <c r="D870" s="1" t="str">
        <f>"每个部位"</f>
        <v>每个部位</v>
      </c>
      <c r="E870" s="1" t="str">
        <f t="shared" si="282"/>
        <v>治疗费</v>
      </c>
    </row>
    <row r="871" spans="1:5">
      <c r="A871" s="1" t="str">
        <f>"中医保健配方、膏药配制费"</f>
        <v>中医保健配方、膏药配制费</v>
      </c>
      <c r="B871" s="1">
        <v>350</v>
      </c>
      <c r="C871" s="1" t="str">
        <f>"/"</f>
        <v>/</v>
      </c>
      <c r="D871" s="1" t="str">
        <f>"次"</f>
        <v>次</v>
      </c>
      <c r="E871" s="1" t="str">
        <f>"服务收入"</f>
        <v>服务收入</v>
      </c>
    </row>
    <row r="872" spans="1:5">
      <c r="A872" s="1" t="str">
        <f>"煎药机煎药"</f>
        <v>煎药机煎药</v>
      </c>
      <c r="B872" s="1">
        <v>2.2000000000000002</v>
      </c>
      <c r="C872" s="1" t="str">
        <f>"次"</f>
        <v>次</v>
      </c>
      <c r="D872" s="1" t="str">
        <f>"次"</f>
        <v>次</v>
      </c>
      <c r="E872" s="1" t="str">
        <f>"治疗费"</f>
        <v>治疗费</v>
      </c>
    </row>
    <row r="873" spans="1:5">
      <c r="A873" s="1" t="str">
        <f>"中医体质辨识"</f>
        <v>中医体质辨识</v>
      </c>
      <c r="B873" s="1" t="str">
        <f>"0"</f>
        <v>0</v>
      </c>
      <c r="C873" s="1" t="str">
        <f>"项"</f>
        <v>项</v>
      </c>
      <c r="D873" s="1" t="str">
        <f>"项"</f>
        <v>项</v>
      </c>
      <c r="E873" s="1" t="str">
        <f>"治疗费"</f>
        <v>治疗费</v>
      </c>
    </row>
    <row r="874" spans="1:5">
      <c r="A874" s="1" t="str">
        <f>"人免疫缺陷病毒抗体测定(Anti-HIV)（减免）"</f>
        <v>人免疫缺陷病毒抗体测定(Anti-HIV)（减免）</v>
      </c>
      <c r="B874" s="1" t="str">
        <f>"0"</f>
        <v>0</v>
      </c>
      <c r="C874" s="1" t="str">
        <f>"次"</f>
        <v>次</v>
      </c>
      <c r="D874" s="1" t="str">
        <f>"项"</f>
        <v>项</v>
      </c>
      <c r="E874" s="1" t="str">
        <f>"检验费"</f>
        <v>检验费</v>
      </c>
    </row>
    <row r="875" spans="1:5">
      <c r="A875" s="1" t="str">
        <f>"上睑下垂检查(免费）"</f>
        <v>上睑下垂检查(免费）</v>
      </c>
      <c r="B875" s="1" t="str">
        <f t="shared" ref="B875:B885" si="289">"0"</f>
        <v>0</v>
      </c>
      <c r="C875" s="1" t="str">
        <f>"次"</f>
        <v>次</v>
      </c>
      <c r="D875" s="1" t="str">
        <f>"次"</f>
        <v>次</v>
      </c>
      <c r="E875" s="1" t="str">
        <f>"检查费"</f>
        <v>检查费</v>
      </c>
    </row>
    <row r="876" spans="1:5">
      <c r="A876" s="1" t="str">
        <f>"产前检查（免费）"</f>
        <v>产前检查（免费）</v>
      </c>
      <c r="B876" s="1" t="str">
        <f t="shared" si="289"/>
        <v>0</v>
      </c>
      <c r="C876" s="1" t="str">
        <f t="shared" ref="C876:C898" si="290">"项"</f>
        <v>项</v>
      </c>
      <c r="D876" s="1" t="str">
        <f t="shared" ref="D876:D898" si="291">"项"</f>
        <v>项</v>
      </c>
      <c r="E876" s="1" t="str">
        <f>"检查费"</f>
        <v>检查费</v>
      </c>
    </row>
    <row r="877" spans="1:5">
      <c r="A877" s="1" t="str">
        <f>"血细胞分析(五分类)(免费)"</f>
        <v>血细胞分析(五分类)(免费)</v>
      </c>
      <c r="B877" s="1" t="str">
        <f t="shared" si="289"/>
        <v>0</v>
      </c>
      <c r="C877" s="1" t="str">
        <f t="shared" si="290"/>
        <v>项</v>
      </c>
      <c r="D877" s="1" t="str">
        <f t="shared" si="291"/>
        <v>项</v>
      </c>
      <c r="E877" s="1" t="str">
        <f t="shared" ref="E877:E894" si="292">"检验费"</f>
        <v>检验费</v>
      </c>
    </row>
    <row r="878" spans="1:5">
      <c r="A878" s="1" t="str">
        <f>"血清白蛋白测定（免费）"</f>
        <v>血清白蛋白测定（免费）</v>
      </c>
      <c r="B878" s="1" t="str">
        <f t="shared" si="289"/>
        <v>0</v>
      </c>
      <c r="C878" s="1" t="str">
        <f t="shared" si="290"/>
        <v>项</v>
      </c>
      <c r="D878" s="1" t="str">
        <f t="shared" si="291"/>
        <v>项</v>
      </c>
      <c r="E878" s="1" t="str">
        <f t="shared" si="292"/>
        <v>检验费</v>
      </c>
    </row>
    <row r="879" spans="1:5">
      <c r="A879" s="1" t="str">
        <f>"血清总胆红素测定（免费）"</f>
        <v>血清总胆红素测定（免费）</v>
      </c>
      <c r="B879" s="1" t="str">
        <f t="shared" si="289"/>
        <v>0</v>
      </c>
      <c r="C879" s="1" t="str">
        <f t="shared" si="290"/>
        <v>项</v>
      </c>
      <c r="D879" s="1" t="str">
        <f t="shared" si="291"/>
        <v>项</v>
      </c>
      <c r="E879" s="1" t="str">
        <f t="shared" si="292"/>
        <v>检验费</v>
      </c>
    </row>
    <row r="880" spans="1:5">
      <c r="A880" s="1" t="str">
        <f>"血清直接胆红素测定（免费）"</f>
        <v>血清直接胆红素测定（免费）</v>
      </c>
      <c r="B880" s="1" t="str">
        <f t="shared" si="289"/>
        <v>0</v>
      </c>
      <c r="C880" s="1" t="str">
        <f t="shared" si="290"/>
        <v>项</v>
      </c>
      <c r="D880" s="1" t="str">
        <f t="shared" si="291"/>
        <v>项</v>
      </c>
      <c r="E880" s="1" t="str">
        <f t="shared" si="292"/>
        <v>检验费</v>
      </c>
    </row>
    <row r="881" spans="1:5">
      <c r="A881" s="1" t="str">
        <f>"血清丙氨酸氨基转移酶测定（免费）"</f>
        <v>血清丙氨酸氨基转移酶测定（免费）</v>
      </c>
      <c r="B881" s="1" t="str">
        <f t="shared" si="289"/>
        <v>0</v>
      </c>
      <c r="C881" s="1" t="str">
        <f t="shared" si="290"/>
        <v>项</v>
      </c>
      <c r="D881" s="1" t="str">
        <f t="shared" si="291"/>
        <v>项</v>
      </c>
      <c r="E881" s="1" t="str">
        <f t="shared" si="292"/>
        <v>检验费</v>
      </c>
    </row>
    <row r="882" spans="1:5">
      <c r="A882" s="1" t="str">
        <f>"血清天门冬氨酸基转移酶测定（免费）"</f>
        <v>血清天门冬氨酸基转移酶测定（免费）</v>
      </c>
      <c r="B882" s="1" t="str">
        <f t="shared" si="289"/>
        <v>0</v>
      </c>
      <c r="C882" s="1" t="str">
        <f t="shared" si="290"/>
        <v>项</v>
      </c>
      <c r="D882" s="1" t="str">
        <f t="shared" si="291"/>
        <v>项</v>
      </c>
      <c r="E882" s="1" t="str">
        <f t="shared" si="292"/>
        <v>检验费</v>
      </c>
    </row>
    <row r="883" spans="1:5">
      <c r="A883" s="1" t="str">
        <f>"尿素测定（免费）"</f>
        <v>尿素测定（免费）</v>
      </c>
      <c r="B883" s="1" t="str">
        <f t="shared" si="289"/>
        <v>0</v>
      </c>
      <c r="C883" s="1" t="str">
        <f t="shared" si="290"/>
        <v>项</v>
      </c>
      <c r="D883" s="1" t="str">
        <f t="shared" si="291"/>
        <v>项</v>
      </c>
      <c r="E883" s="1" t="str">
        <f t="shared" si="292"/>
        <v>检验费</v>
      </c>
    </row>
    <row r="884" spans="1:5">
      <c r="A884" s="1" t="str">
        <f>"肌酐测定（免费）"</f>
        <v>肌酐测定（免费）</v>
      </c>
      <c r="B884" s="1" t="str">
        <f t="shared" si="289"/>
        <v>0</v>
      </c>
      <c r="C884" s="1" t="str">
        <f t="shared" si="290"/>
        <v>项</v>
      </c>
      <c r="D884" s="1" t="str">
        <f t="shared" si="291"/>
        <v>项</v>
      </c>
      <c r="E884" s="1" t="str">
        <f t="shared" si="292"/>
        <v>检验费</v>
      </c>
    </row>
    <row r="885" spans="1:5">
      <c r="A885" s="1" t="str">
        <f>"ABO血型鉴定"</f>
        <v>ABO血型鉴定</v>
      </c>
      <c r="B885" s="1" t="str">
        <f t="shared" si="289"/>
        <v>0</v>
      </c>
      <c r="C885" s="1" t="str">
        <f t="shared" si="290"/>
        <v>项</v>
      </c>
      <c r="D885" s="1" t="str">
        <f t="shared" si="291"/>
        <v>项</v>
      </c>
      <c r="E885" s="1" t="str">
        <f t="shared" si="292"/>
        <v>检验费</v>
      </c>
    </row>
    <row r="886" spans="1:5">
      <c r="A886" s="1" t="str">
        <f>"梅毒螺旋体特异抗体测定（凝集法）"</f>
        <v>梅毒螺旋体特异抗体测定（凝集法）</v>
      </c>
      <c r="B886" s="1">
        <v>15</v>
      </c>
      <c r="C886" s="1" t="str">
        <f t="shared" si="290"/>
        <v>项</v>
      </c>
      <c r="D886" s="1" t="str">
        <f t="shared" si="291"/>
        <v>项</v>
      </c>
      <c r="E886" s="1" t="str">
        <f t="shared" si="292"/>
        <v>检验费</v>
      </c>
    </row>
    <row r="887" spans="1:5">
      <c r="A887" s="1" t="str">
        <f>"乙型肝炎表面抗原测定(HBsAg)ELISA法（妇科减免）"</f>
        <v>乙型肝炎表面抗原测定(HBsAg)ELISA法（妇科减免）</v>
      </c>
      <c r="B887" s="1" t="str">
        <f t="shared" ref="B887:B894" si="293">"0"</f>
        <v>0</v>
      </c>
      <c r="C887" s="1" t="str">
        <f t="shared" si="290"/>
        <v>项</v>
      </c>
      <c r="D887" s="1" t="str">
        <f t="shared" si="291"/>
        <v>项</v>
      </c>
      <c r="E887" s="1" t="str">
        <f t="shared" si="292"/>
        <v>检验费</v>
      </c>
    </row>
    <row r="888" spans="1:5">
      <c r="A888" s="1" t="str">
        <f>"乙型肝炎表面抗体测定(Anti-HBs)ELISA法（妇科减免）"</f>
        <v>乙型肝炎表面抗体测定(Anti-HBs)ELISA法（妇科减免）</v>
      </c>
      <c r="B888" s="1" t="str">
        <f t="shared" si="293"/>
        <v>0</v>
      </c>
      <c r="C888" s="1" t="str">
        <f t="shared" si="290"/>
        <v>项</v>
      </c>
      <c r="D888" s="1" t="str">
        <f t="shared" si="291"/>
        <v>项</v>
      </c>
      <c r="E888" s="1" t="str">
        <f t="shared" si="292"/>
        <v>检验费</v>
      </c>
    </row>
    <row r="889" spans="1:5">
      <c r="A889" s="1" t="str">
        <f>"乙型肝炎e抗原测定(HBeAg)（免疫学法）（妇科减免）"</f>
        <v>乙型肝炎e抗原测定(HBeAg)（免疫学法）（妇科减免）</v>
      </c>
      <c r="B889" s="1" t="str">
        <f t="shared" si="293"/>
        <v>0</v>
      </c>
      <c r="C889" s="1" t="str">
        <f t="shared" si="290"/>
        <v>项</v>
      </c>
      <c r="D889" s="1" t="str">
        <f t="shared" si="291"/>
        <v>项</v>
      </c>
      <c r="E889" s="1" t="str">
        <f t="shared" si="292"/>
        <v>检验费</v>
      </c>
    </row>
    <row r="890" spans="1:5">
      <c r="A890" s="1" t="str">
        <f>"乙型肝炎e抗体测定(Anti-HBe)免疫学法（妇科减免）"</f>
        <v>乙型肝炎e抗体测定(Anti-HBe)免疫学法（妇科减免）</v>
      </c>
      <c r="B890" s="1" t="str">
        <f t="shared" si="293"/>
        <v>0</v>
      </c>
      <c r="C890" s="1" t="str">
        <f t="shared" si="290"/>
        <v>项</v>
      </c>
      <c r="D890" s="1" t="str">
        <f t="shared" si="291"/>
        <v>项</v>
      </c>
      <c r="E890" s="1" t="str">
        <f t="shared" si="292"/>
        <v>检验费</v>
      </c>
    </row>
    <row r="891" spans="1:5">
      <c r="A891" s="1" t="str">
        <f>"乙型肝炎核心抗体测定(IgM)(Anti-HBc)ELISA法（妇科减免）"</f>
        <v>乙型肝炎核心抗体测定(IgM)(Anti-HBc)ELISA法（妇科减免）</v>
      </c>
      <c r="B891" s="1" t="str">
        <f t="shared" si="293"/>
        <v>0</v>
      </c>
      <c r="C891" s="1" t="str">
        <f t="shared" si="290"/>
        <v>项</v>
      </c>
      <c r="D891" s="1" t="str">
        <f t="shared" si="291"/>
        <v>项</v>
      </c>
      <c r="E891" s="1" t="str">
        <f t="shared" si="292"/>
        <v>检验费</v>
      </c>
    </row>
    <row r="892" spans="1:5">
      <c r="A892" s="1" t="str">
        <f>"尿液分析（妇儿保专用）"</f>
        <v>尿液分析（妇儿保专用）</v>
      </c>
      <c r="B892" s="1" t="str">
        <f t="shared" si="293"/>
        <v>0</v>
      </c>
      <c r="C892" s="1" t="str">
        <f t="shared" si="290"/>
        <v>项</v>
      </c>
      <c r="D892" s="1" t="str">
        <f t="shared" si="291"/>
        <v>项</v>
      </c>
      <c r="E892" s="1" t="str">
        <f t="shared" si="292"/>
        <v>检验费</v>
      </c>
    </row>
    <row r="893" spans="1:5">
      <c r="A893" s="1" t="str">
        <f>"梅毒检测（妇保专用）"</f>
        <v>梅毒检测（妇保专用）</v>
      </c>
      <c r="B893" s="1" t="str">
        <f t="shared" si="293"/>
        <v>0</v>
      </c>
      <c r="C893" s="1" t="str">
        <f t="shared" si="290"/>
        <v>项</v>
      </c>
      <c r="D893" s="1" t="str">
        <f t="shared" si="291"/>
        <v>项</v>
      </c>
      <c r="E893" s="1" t="str">
        <f t="shared" si="292"/>
        <v>检验费</v>
      </c>
    </row>
    <row r="894" spans="1:5">
      <c r="A894" s="1" t="str">
        <f>"阴道分泌物检查"</f>
        <v>阴道分泌物检查</v>
      </c>
      <c r="B894" s="1" t="str">
        <f t="shared" si="293"/>
        <v>0</v>
      </c>
      <c r="C894" s="1" t="str">
        <f t="shared" si="290"/>
        <v>项</v>
      </c>
      <c r="D894" s="1" t="str">
        <f t="shared" si="291"/>
        <v>项</v>
      </c>
      <c r="E894" s="1" t="str">
        <f t="shared" si="292"/>
        <v>检验费</v>
      </c>
    </row>
    <row r="895" spans="1:5">
      <c r="A895" s="1" t="str">
        <f>"糖尿病个性服务包"</f>
        <v>糖尿病个性服务包</v>
      </c>
      <c r="B895" s="1">
        <v>60</v>
      </c>
      <c r="C895" s="1" t="str">
        <f t="shared" si="290"/>
        <v>项</v>
      </c>
      <c r="D895" s="1" t="str">
        <f t="shared" si="291"/>
        <v>项</v>
      </c>
      <c r="E895" s="1" t="str">
        <f>"治疗费"</f>
        <v>治疗费</v>
      </c>
    </row>
    <row r="896" spans="1:5">
      <c r="A896" s="1" t="str">
        <f>"结合胆红素"</f>
        <v>结合胆红素</v>
      </c>
      <c r="B896" s="1" t="str">
        <f>"0"</f>
        <v>0</v>
      </c>
      <c r="C896" s="1" t="str">
        <f t="shared" si="290"/>
        <v>项</v>
      </c>
      <c r="D896" s="1" t="str">
        <f t="shared" si="291"/>
        <v>项</v>
      </c>
      <c r="E896" s="1" t="str">
        <f t="shared" ref="E896:E901" si="294">"检验费"</f>
        <v>检验费</v>
      </c>
    </row>
    <row r="897" spans="1:5">
      <c r="A897" s="1" t="str">
        <f>"家庭医生签约基本服务包"</f>
        <v>家庭医生签约基本服务包</v>
      </c>
      <c r="B897" s="1">
        <v>15</v>
      </c>
      <c r="C897" s="1" t="str">
        <f t="shared" si="290"/>
        <v>项</v>
      </c>
      <c r="D897" s="1" t="str">
        <f t="shared" si="291"/>
        <v>项</v>
      </c>
      <c r="E897" s="1" t="str">
        <f>"签约服务费"</f>
        <v>签约服务费</v>
      </c>
    </row>
    <row r="898" spans="1:5">
      <c r="A898" s="1" t="str">
        <f>"高血压个性服务包"</f>
        <v>高血压个性服务包</v>
      </c>
      <c r="B898" s="1">
        <v>60</v>
      </c>
      <c r="C898" s="1" t="str">
        <f t="shared" si="290"/>
        <v>项</v>
      </c>
      <c r="D898" s="1" t="str">
        <f t="shared" si="291"/>
        <v>项</v>
      </c>
      <c r="E898" s="1" t="str">
        <f>"治疗费"</f>
        <v>治疗费</v>
      </c>
    </row>
    <row r="899" spans="1:5">
      <c r="A899" s="1" t="str">
        <f>"妇检"</f>
        <v>妇检</v>
      </c>
      <c r="B899" s="1">
        <v>8</v>
      </c>
      <c r="C899" s="1">
        <v>1</v>
      </c>
      <c r="D899" s="1" t="str">
        <f t="shared" ref="D899:D912" si="295">"次"</f>
        <v>次</v>
      </c>
      <c r="E899" s="1" t="str">
        <f>"检查费"</f>
        <v>检查费</v>
      </c>
    </row>
    <row r="900" spans="1:5">
      <c r="A900" s="1" t="str">
        <f>"梅毒螺旋体特异抗体测定（生育）"</f>
        <v>梅毒螺旋体特异抗体测定（生育）</v>
      </c>
      <c r="B900" s="1" t="str">
        <f t="shared" ref="B900:B911" si="296">"0"</f>
        <v>0</v>
      </c>
      <c r="C900" s="1" t="str">
        <f>"项"</f>
        <v>项</v>
      </c>
      <c r="D900" s="1" t="str">
        <f>"项"</f>
        <v>项</v>
      </c>
      <c r="E900" s="1" t="str">
        <f t="shared" si="294"/>
        <v>检验费</v>
      </c>
    </row>
    <row r="901" spans="1:5">
      <c r="A901" s="1" t="str">
        <f>"液基薄层细胞制片术(TCT)（减免）"</f>
        <v>液基薄层细胞制片术(TCT)（减免）</v>
      </c>
      <c r="B901" s="1">
        <v>120</v>
      </c>
      <c r="C901" s="1" t="str">
        <f t="shared" ref="C901:C912" si="297">"次"</f>
        <v>次</v>
      </c>
      <c r="D901" s="1" t="str">
        <f t="shared" si="295"/>
        <v>次</v>
      </c>
      <c r="E901" s="1" t="str">
        <f t="shared" si="294"/>
        <v>检验费</v>
      </c>
    </row>
    <row r="902" spans="1:5">
      <c r="A902" s="1" t="str">
        <f>"儿童生长发育评估"</f>
        <v>儿童生长发育评估</v>
      </c>
      <c r="B902" s="1" t="str">
        <f t="shared" si="296"/>
        <v>0</v>
      </c>
      <c r="C902" s="1" t="str">
        <f>"项"</f>
        <v>项</v>
      </c>
      <c r="D902" s="1" t="str">
        <f>"项"</f>
        <v>项</v>
      </c>
      <c r="E902" s="1" t="str">
        <f>"检查费"</f>
        <v>检查费</v>
      </c>
    </row>
    <row r="903" spans="1:5">
      <c r="A903" s="1" t="str">
        <f>"普通针刺(家医签约)"</f>
        <v>普通针刺(家医签约)</v>
      </c>
      <c r="B903" s="1" t="str">
        <f t="shared" si="296"/>
        <v>0</v>
      </c>
      <c r="C903" s="1" t="str">
        <f t="shared" si="297"/>
        <v>次</v>
      </c>
      <c r="D903" s="1" t="str">
        <f t="shared" si="295"/>
        <v>次</v>
      </c>
      <c r="E903" s="1" t="str">
        <f t="shared" ref="E903:E908" si="298">"治疗费"</f>
        <v>治疗费</v>
      </c>
    </row>
    <row r="904" spans="1:5">
      <c r="A904" s="1" t="str">
        <f>"拔罐疗法(家医签约)"</f>
        <v>拔罐疗法(家医签约)</v>
      </c>
      <c r="B904" s="1" t="str">
        <f t="shared" si="296"/>
        <v>0</v>
      </c>
      <c r="C904" s="1" t="str">
        <f t="shared" si="297"/>
        <v>次</v>
      </c>
      <c r="D904" s="1" t="str">
        <f t="shared" si="295"/>
        <v>次</v>
      </c>
      <c r="E904" s="1" t="str">
        <f t="shared" si="298"/>
        <v>治疗费</v>
      </c>
    </row>
    <row r="905" spans="1:5">
      <c r="A905" s="1" t="str">
        <f>"耳针(家医签约)"</f>
        <v>耳针(家医签约)</v>
      </c>
      <c r="B905" s="1" t="str">
        <f t="shared" si="296"/>
        <v>0</v>
      </c>
      <c r="C905" s="1" t="str">
        <f t="shared" si="297"/>
        <v>次</v>
      </c>
      <c r="D905" s="1" t="str">
        <f t="shared" si="295"/>
        <v>次</v>
      </c>
      <c r="E905" s="1" t="str">
        <f t="shared" si="298"/>
        <v>治疗费</v>
      </c>
    </row>
    <row r="906" spans="1:5">
      <c r="A906" s="1" t="str">
        <f>"磁疗（家医签约）"</f>
        <v>磁疗（家医签约）</v>
      </c>
      <c r="B906" s="1" t="str">
        <f t="shared" si="296"/>
        <v>0</v>
      </c>
      <c r="C906" s="1" t="str">
        <f t="shared" si="297"/>
        <v>次</v>
      </c>
      <c r="D906" s="1" t="str">
        <f t="shared" si="295"/>
        <v>次</v>
      </c>
      <c r="E906" s="1" t="str">
        <f t="shared" si="298"/>
        <v>治疗费</v>
      </c>
    </row>
    <row r="907" spans="1:5">
      <c r="A907" s="1" t="str">
        <f>"中药定向透药疗法（家医签约）"</f>
        <v>中药定向透药疗法（家医签约）</v>
      </c>
      <c r="B907" s="1" t="str">
        <f t="shared" si="296"/>
        <v>0</v>
      </c>
      <c r="C907" s="1" t="str">
        <f t="shared" si="297"/>
        <v>次</v>
      </c>
      <c r="D907" s="1" t="str">
        <f t="shared" si="295"/>
        <v>次</v>
      </c>
      <c r="E907" s="1" t="str">
        <f t="shared" si="298"/>
        <v>治疗费</v>
      </c>
    </row>
    <row r="908" spans="1:5">
      <c r="A908" s="1" t="str">
        <f>"中药熏蒸包（家医签约）"</f>
        <v>中药熏蒸包（家医签约）</v>
      </c>
      <c r="B908" s="1" t="str">
        <f t="shared" si="296"/>
        <v>0</v>
      </c>
      <c r="C908" s="1" t="str">
        <f t="shared" si="297"/>
        <v>次</v>
      </c>
      <c r="D908" s="1" t="str">
        <f t="shared" si="295"/>
        <v>次</v>
      </c>
      <c r="E908" s="1" t="str">
        <f t="shared" si="298"/>
        <v>治疗费</v>
      </c>
    </row>
    <row r="909" spans="1:5">
      <c r="A909" s="1" t="str">
        <f>"妇检（免费）"</f>
        <v>妇检（免费）</v>
      </c>
      <c r="B909" s="1" t="str">
        <f t="shared" si="296"/>
        <v>0</v>
      </c>
      <c r="C909" s="1" t="str">
        <f t="shared" si="297"/>
        <v>次</v>
      </c>
      <c r="D909" s="1" t="str">
        <f t="shared" si="295"/>
        <v>次</v>
      </c>
      <c r="E909" s="1" t="str">
        <f t="shared" ref="E909:E911" si="299">"检查费"</f>
        <v>检查费</v>
      </c>
    </row>
    <row r="910" spans="1:5">
      <c r="A910" s="1" t="str">
        <f>"角膜知觉检查（减免）"</f>
        <v>角膜知觉检查（减免）</v>
      </c>
      <c r="B910" s="1" t="str">
        <f t="shared" si="296"/>
        <v>0</v>
      </c>
      <c r="C910" s="1" t="str">
        <f t="shared" si="297"/>
        <v>次</v>
      </c>
      <c r="D910" s="1" t="str">
        <f t="shared" si="295"/>
        <v>次</v>
      </c>
      <c r="E910" s="1" t="str">
        <f t="shared" si="299"/>
        <v>检查费</v>
      </c>
    </row>
    <row r="911" spans="1:5">
      <c r="A911" s="1" t="str">
        <f>"眼底检查（减免）"</f>
        <v>眼底检查（减免）</v>
      </c>
      <c r="B911" s="1" t="str">
        <f t="shared" si="296"/>
        <v>0</v>
      </c>
      <c r="C911" s="1" t="str">
        <f t="shared" si="297"/>
        <v>次</v>
      </c>
      <c r="D911" s="1" t="str">
        <f t="shared" si="295"/>
        <v>次</v>
      </c>
      <c r="E911" s="1" t="str">
        <f t="shared" si="299"/>
        <v>检查费</v>
      </c>
    </row>
    <row r="912" spans="1:5">
      <c r="A912" s="1" t="str">
        <f>"新型冠状病毒抗原检测"</f>
        <v>新型冠状病毒抗原检测</v>
      </c>
      <c r="B912" s="1">
        <v>2</v>
      </c>
      <c r="C912" s="1" t="str">
        <f t="shared" si="297"/>
        <v>次</v>
      </c>
      <c r="D912" s="1" t="str">
        <f t="shared" si="295"/>
        <v>次</v>
      </c>
      <c r="E912" s="1" t="str">
        <f>"检验费"</f>
        <v>检验费</v>
      </c>
    </row>
    <row r="913" spans="1:5">
      <c r="A913" s="1" t="str">
        <f>"重组带状疱疹疫苗（欣安立适 免费）"</f>
        <v>重组带状疱疹疫苗（欣安立适 免费）</v>
      </c>
      <c r="B913" s="1" t="str">
        <f>"0"</f>
        <v>0</v>
      </c>
      <c r="C913" s="1" t="str">
        <f t="shared" ref="C913:C919" si="300">"0.5ml"</f>
        <v>0.5ml</v>
      </c>
      <c r="D913" s="1" t="str">
        <f t="shared" ref="D913:D922" si="301">"支"</f>
        <v>支</v>
      </c>
      <c r="E913" s="1" t="str">
        <f t="shared" ref="E913:E922" si="302">"生物制品"</f>
        <v>生物制品</v>
      </c>
    </row>
    <row r="914" spans="1:5">
      <c r="A914" s="1" t="str">
        <f>"双价人乳头瘤病毒吸附疫苗（希瑞适 免费）"</f>
        <v>双价人乳头瘤病毒吸附疫苗（希瑞适 免费）</v>
      </c>
      <c r="B914" s="1" t="str">
        <f>"0"</f>
        <v>0</v>
      </c>
      <c r="C914" s="1" t="str">
        <f t="shared" si="300"/>
        <v>0.5ml</v>
      </c>
      <c r="D914" s="1" t="str">
        <f t="shared" si="301"/>
        <v>支</v>
      </c>
      <c r="E914" s="1" t="str">
        <f t="shared" si="302"/>
        <v>生物制品</v>
      </c>
    </row>
    <row r="915" spans="1:5">
      <c r="A915" s="1" t="str">
        <f>"双价人乳头瘤病毒吸附疫苗（希瑞适 优惠）"</f>
        <v>双价人乳头瘤病毒吸附疫苗（希瑞适 优惠）</v>
      </c>
      <c r="B915" s="1">
        <v>494</v>
      </c>
      <c r="C915" s="1" t="str">
        <f t="shared" si="300"/>
        <v>0.5ml</v>
      </c>
      <c r="D915" s="1" t="str">
        <f t="shared" si="301"/>
        <v>支</v>
      </c>
      <c r="E915" s="1" t="str">
        <f t="shared" si="302"/>
        <v>生物制品</v>
      </c>
    </row>
    <row r="916" spans="1:5">
      <c r="A916" s="1" t="str">
        <f>"四价人乳头瘤病毒疫苗（佳达修 优惠）"</f>
        <v>四价人乳头瘤病毒疫苗（佳达修 优惠）</v>
      </c>
      <c r="B916" s="1">
        <v>712</v>
      </c>
      <c r="C916" s="1" t="str">
        <f t="shared" si="300"/>
        <v>0.5ml</v>
      </c>
      <c r="D916" s="1" t="str">
        <f t="shared" si="301"/>
        <v>支</v>
      </c>
      <c r="E916" s="1" t="str">
        <f t="shared" si="302"/>
        <v>生物制品</v>
      </c>
    </row>
    <row r="917" spans="1:5">
      <c r="A917" s="1" t="str">
        <f>"九价人乳头瘤病毒疫苗（优惠）"</f>
        <v>九价人乳头瘤病毒疫苗（优惠）</v>
      </c>
      <c r="B917" s="1">
        <v>1212</v>
      </c>
      <c r="C917" s="1" t="str">
        <f t="shared" si="300"/>
        <v>0.5ml</v>
      </c>
      <c r="D917" s="1" t="str">
        <f t="shared" si="301"/>
        <v>支</v>
      </c>
      <c r="E917" s="1" t="str">
        <f t="shared" si="302"/>
        <v>生物制品</v>
      </c>
    </row>
    <row r="918" spans="1:5">
      <c r="A918" s="1" t="str">
        <f>"三价流感病毒亚单位疫苗(优惠)"</f>
        <v>三价流感病毒亚单位疫苗(优惠)</v>
      </c>
      <c r="B918" s="1">
        <v>80</v>
      </c>
      <c r="C918" s="1" t="str">
        <f t="shared" si="300"/>
        <v>0.5ml</v>
      </c>
      <c r="D918" s="1" t="str">
        <f t="shared" si="301"/>
        <v>支</v>
      </c>
      <c r="E918" s="1" t="str">
        <f t="shared" si="302"/>
        <v>生物制品</v>
      </c>
    </row>
    <row r="919" spans="1:5">
      <c r="A919" s="1" t="str">
        <f>"四价流感病毒亚单位疫苗(优惠)"</f>
        <v>四价流感病毒亚单位疫苗(优惠)</v>
      </c>
      <c r="B919" s="1">
        <v>231</v>
      </c>
      <c r="C919" s="1" t="str">
        <f t="shared" si="300"/>
        <v>0.5ml</v>
      </c>
      <c r="D919" s="1" t="str">
        <f t="shared" si="301"/>
        <v>支</v>
      </c>
      <c r="E919" s="1" t="str">
        <f t="shared" si="302"/>
        <v>生物制品</v>
      </c>
    </row>
    <row r="920" spans="1:5">
      <c r="A920" s="1" t="str">
        <f>"双价人乳头瘤病毒吸附疫苗（希瑞适 优惠）"</f>
        <v>双价人乳头瘤病毒吸附疫苗（希瑞适 优惠）</v>
      </c>
      <c r="B920" s="1">
        <v>454</v>
      </c>
      <c r="C920" s="1" t="str">
        <f>"0.5 ml"</f>
        <v>0.5 ml</v>
      </c>
      <c r="D920" s="1" t="str">
        <f t="shared" si="301"/>
        <v>支</v>
      </c>
      <c r="E920" s="1" t="str">
        <f t="shared" si="302"/>
        <v>生物制品</v>
      </c>
    </row>
    <row r="921" spans="1:5">
      <c r="A921" s="1" t="str">
        <f>"四价人乳头瘤病毒疫苗（佳达修 优惠）"</f>
        <v>四价人乳头瘤病毒疫苗（佳达修 优惠）</v>
      </c>
      <c r="B921" s="1">
        <v>735</v>
      </c>
      <c r="C921" s="1" t="str">
        <f>"0.5 ml"</f>
        <v>0.5 ml</v>
      </c>
      <c r="D921" s="1" t="str">
        <f t="shared" si="301"/>
        <v>支</v>
      </c>
      <c r="E921" s="1" t="str">
        <f t="shared" si="302"/>
        <v>生物制品</v>
      </c>
    </row>
    <row r="922" spans="1:5">
      <c r="A922" s="1" t="str">
        <f>"九价人乳头瘤病毒疫苗（佳达修 优惠）"</f>
        <v>九价人乳头瘤病毒疫苗（佳达修 优惠）</v>
      </c>
      <c r="B922" s="1">
        <v>1235</v>
      </c>
      <c r="C922" s="1" t="str">
        <f>"0.5ml"</f>
        <v>0.5ml</v>
      </c>
      <c r="D922" s="1" t="str">
        <f t="shared" si="301"/>
        <v>支</v>
      </c>
      <c r="E922" s="1" t="str">
        <f t="shared" si="302"/>
        <v>生物制品</v>
      </c>
    </row>
    <row r="923" spans="1:5">
      <c r="A923" s="1" t="str">
        <f>"预防接种服务费"</f>
        <v>预防接种服务费</v>
      </c>
      <c r="B923" s="1">
        <v>20</v>
      </c>
      <c r="C923" s="1">
        <v>1</v>
      </c>
      <c r="D923" s="1" t="str">
        <f t="shared" ref="D923:D925" si="303">"次"</f>
        <v>次</v>
      </c>
      <c r="E923" s="1" t="str">
        <f>"预防接种费"</f>
        <v>预防接种费</v>
      </c>
    </row>
    <row r="924" spans="1:5">
      <c r="A924" s="1" t="str">
        <f>"体检费(Z)"</f>
        <v>体检费(Z)</v>
      </c>
      <c r="B924" s="1">
        <v>700</v>
      </c>
      <c r="C924" s="1" t="str">
        <f>"次"</f>
        <v>次</v>
      </c>
      <c r="D924" s="1" t="str">
        <f t="shared" si="303"/>
        <v>次</v>
      </c>
      <c r="E924" s="1" t="str">
        <f>"体检费"</f>
        <v>体检费</v>
      </c>
    </row>
    <row r="925" spans="1:5">
      <c r="A925" s="1" t="str">
        <f>"体检费"</f>
        <v>体检费</v>
      </c>
      <c r="B925" s="1">
        <v>80</v>
      </c>
      <c r="C925" s="1" t="str">
        <f>"次"</f>
        <v>次</v>
      </c>
      <c r="D925" s="1" t="str">
        <f t="shared" si="303"/>
        <v>次</v>
      </c>
      <c r="E925" s="1" t="str">
        <f>"体检费"</f>
        <v>体检费</v>
      </c>
    </row>
    <row r="926" spans="1:5">
      <c r="A926" s="1" t="str">
        <f>"重复使用阴道电极"</f>
        <v>重复使用阴道电极</v>
      </c>
      <c r="B926" s="1">
        <v>231</v>
      </c>
      <c r="C926" s="1" t="str">
        <f>"个"</f>
        <v>个</v>
      </c>
      <c r="D926" s="1" t="str">
        <f>"个"</f>
        <v>个</v>
      </c>
      <c r="E926" s="1" t="str">
        <f>"治疗费(含材料费)"</f>
        <v>治疗费(含材料费)</v>
      </c>
    </row>
    <row r="927" spans="1:5">
      <c r="A927" s="1" t="str">
        <f>"儿童体检费"</f>
        <v>儿童体检费</v>
      </c>
      <c r="B927" s="1" t="str">
        <f>"0"</f>
        <v>0</v>
      </c>
      <c r="C927" s="1" t="str">
        <f t="shared" ref="C927:C929" si="304">"项"</f>
        <v>项</v>
      </c>
      <c r="D927" s="1" t="str">
        <f>"项"</f>
        <v>项</v>
      </c>
      <c r="E927" s="1" t="str">
        <f>"检查费"</f>
        <v>检查费</v>
      </c>
    </row>
    <row r="928" spans="1:5">
      <c r="A928" s="1" t="str">
        <f>"氟保护漆"</f>
        <v>氟保护漆</v>
      </c>
      <c r="B928" s="1">
        <v>4</v>
      </c>
      <c r="C928" s="1" t="str">
        <f t="shared" si="304"/>
        <v>项</v>
      </c>
      <c r="D928" s="1" t="str">
        <f>"每牙"</f>
        <v>每牙</v>
      </c>
      <c r="E928" s="1" t="str">
        <f>"治疗费(含材料费)"</f>
        <v>治疗费(含材料费)</v>
      </c>
    </row>
    <row r="929" spans="1:5">
      <c r="A929" s="1" t="str">
        <f>"机用镍钛锉"</f>
        <v>机用镍钛锉</v>
      </c>
      <c r="B929" s="1">
        <v>53</v>
      </c>
      <c r="C929" s="1" t="str">
        <f t="shared" si="304"/>
        <v>项</v>
      </c>
      <c r="D929" s="1" t="str">
        <f>"项"</f>
        <v>项</v>
      </c>
      <c r="E929" s="1" t="str">
        <f>"治疗费(含材料费)"</f>
        <v>治疗费(含材料费)</v>
      </c>
    </row>
    <row r="930" spans="1:5">
      <c r="A930" s="1" t="str">
        <f>"商业体检费"</f>
        <v>商业体检费</v>
      </c>
      <c r="B930" s="1">
        <v>500</v>
      </c>
      <c r="C930" s="1" t="str">
        <f>"次"</f>
        <v>次</v>
      </c>
      <c r="D930" s="1" t="str">
        <f>"次"</f>
        <v>次</v>
      </c>
      <c r="E930" s="1" t="str">
        <f>"检查费"</f>
        <v>检查费</v>
      </c>
    </row>
    <row r="931" spans="1:5">
      <c r="A931" s="1" t="str">
        <f>"AMH（抗苗勒氏管激素）"</f>
        <v>AMH（抗苗勒氏管激素）</v>
      </c>
      <c r="B931" s="1">
        <v>160</v>
      </c>
      <c r="C931" s="1" t="str">
        <f>"项"</f>
        <v>项</v>
      </c>
      <c r="D931" s="1" t="str">
        <f>"项"</f>
        <v>项</v>
      </c>
      <c r="E931" s="1" t="str">
        <f>"检验费"</f>
        <v>检验费</v>
      </c>
    </row>
    <row r="932" spans="1:5">
      <c r="A932" s="1" t="str">
        <f>"省级离休干部签约费"</f>
        <v>省级离休干部签约费</v>
      </c>
      <c r="B932" s="1">
        <v>1200</v>
      </c>
      <c r="C932" s="1" t="str">
        <f>"项"</f>
        <v>项</v>
      </c>
      <c r="D932" s="1" t="str">
        <f>"项"</f>
        <v>项</v>
      </c>
      <c r="E932" s="1" t="str">
        <f>"签约服务费"</f>
        <v>签约服务费</v>
      </c>
    </row>
    <row r="933" spans="1:5">
      <c r="A933" s="1" t="str">
        <f>"预防接种服务费"</f>
        <v>预防接种服务费</v>
      </c>
      <c r="B933" s="1">
        <v>10</v>
      </c>
      <c r="C933" s="1" t="str">
        <f>"次"</f>
        <v>次</v>
      </c>
      <c r="D933" s="1" t="str">
        <f>"次"</f>
        <v>次</v>
      </c>
      <c r="E933" s="1" t="str">
        <f>"预防接种费"</f>
        <v>预防接种费</v>
      </c>
    </row>
    <row r="934" spans="1:5">
      <c r="A934" s="1" t="str">
        <f>"骨龄测评"</f>
        <v>骨龄测评</v>
      </c>
      <c r="B934" s="1">
        <v>100</v>
      </c>
      <c r="C934" s="1" t="str">
        <f>"项"</f>
        <v>项</v>
      </c>
      <c r="D934" s="1" t="str">
        <f>"项"</f>
        <v>项</v>
      </c>
      <c r="E934" s="1" t="str">
        <f>"检查费"</f>
        <v>检查费</v>
      </c>
    </row>
    <row r="935" spans="1:5">
      <c r="A935" s="1" t="str">
        <f>"局部涂氟防龋齿治疗"</f>
        <v>局部涂氟防龋齿治疗</v>
      </c>
      <c r="B935" s="1">
        <v>1.2</v>
      </c>
      <c r="C935" s="1" t="str">
        <f>"每牙"</f>
        <v>每牙</v>
      </c>
      <c r="D935" s="1" t="str">
        <f>"每牙"</f>
        <v>每牙</v>
      </c>
      <c r="E935" s="1" t="str">
        <f>"治疗费"</f>
        <v>治疗费</v>
      </c>
    </row>
    <row r="936" spans="1:5">
      <c r="A936" s="1" t="str">
        <f>"局部涂氟防龋齿治疗（≤6周岁）"</f>
        <v>局部涂氟防龋齿治疗（≤6周岁）</v>
      </c>
      <c r="B936" s="1">
        <v>1.6</v>
      </c>
      <c r="C936" s="1" t="str">
        <f>"每牙"</f>
        <v>每牙</v>
      </c>
      <c r="D936" s="1" t="str">
        <f>"每牙"</f>
        <v>每牙</v>
      </c>
      <c r="E936" s="1" t="str">
        <f>"治疗费"</f>
        <v>治疗费</v>
      </c>
    </row>
    <row r="937" spans="1:5">
      <c r="A937" s="1" t="str">
        <f>"筛查接种费"</f>
        <v>筛查接种费</v>
      </c>
      <c r="B937" s="1">
        <v>15</v>
      </c>
      <c r="C937" s="1" t="str">
        <f>"项"</f>
        <v>项</v>
      </c>
      <c r="D937" s="1" t="str">
        <f>"项"</f>
        <v>项</v>
      </c>
      <c r="E937" s="1" t="str">
        <f>"检验费"</f>
        <v>检验费</v>
      </c>
    </row>
    <row r="938" spans="1:5">
      <c r="A938" s="1" t="str">
        <f>"抗着丝点蛋白B抗体测定"</f>
        <v>抗着丝点蛋白B抗体测定</v>
      </c>
      <c r="B938" s="1">
        <v>30</v>
      </c>
      <c r="C938" s="1" t="str">
        <f>"次"</f>
        <v>次</v>
      </c>
      <c r="D938" s="1" t="str">
        <f>"次"</f>
        <v>次</v>
      </c>
      <c r="E938" s="1" t="str">
        <f>"检验费"</f>
        <v>检验费</v>
      </c>
    </row>
    <row r="939" spans="1:5">
      <c r="A939" s="1" t="str">
        <f>"抗Ro52抗体测定"</f>
        <v>抗Ro52抗体测定</v>
      </c>
      <c r="B939" s="1">
        <v>30</v>
      </c>
      <c r="C939" s="1" t="str">
        <f>"次"</f>
        <v>次</v>
      </c>
      <c r="D939" s="1" t="str">
        <f>"次"</f>
        <v>次</v>
      </c>
      <c r="E939" s="1" t="str">
        <f>"检验费"</f>
        <v>检验费</v>
      </c>
    </row>
  </sheetData>
  <phoneticPr fontId="1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小市收费项目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Micorosoft</cp:lastModifiedBy>
  <dcterms:created xsi:type="dcterms:W3CDTF">2025-06-10T08:33:00Z</dcterms:created>
  <dcterms:modified xsi:type="dcterms:W3CDTF">2025-08-04T08:32:14Z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CC4C7B3A161A48C38372D414EE5FC174_13</vt:lpwstr>
  </property>
  <property fmtid="{D5CDD505-2E9C-101B-9397-08002B2CF9AE}" pid="3" name="KSOProductBuildVer">
    <vt:lpwstr>2052-12.1.0.21541</vt:lpwstr>
  </property>
</Properties>
</file>