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10485"/>
  </bookViews>
  <sheets>
    <sheet name="26年5月7日在用收费目录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4" i="1"/>
  <c r="P506"/>
  <c r="O506"/>
  <c r="L506"/>
  <c r="K506"/>
  <c r="I506"/>
  <c r="C506"/>
  <c r="B506"/>
  <c r="A506"/>
  <c r="P505"/>
  <c r="O505"/>
  <c r="L505"/>
  <c r="K505"/>
  <c r="I505"/>
  <c r="C505"/>
  <c r="B505"/>
  <c r="A505"/>
  <c r="P504"/>
  <c r="O504"/>
  <c r="L504"/>
  <c r="K504"/>
  <c r="D504"/>
  <c r="C504"/>
  <c r="B504"/>
  <c r="A504"/>
  <c r="P503"/>
  <c r="O503"/>
  <c r="L503"/>
  <c r="K503"/>
  <c r="I503"/>
  <c r="D503"/>
  <c r="C503"/>
  <c r="B503"/>
  <c r="A503"/>
  <c r="P502"/>
  <c r="O502"/>
  <c r="L502"/>
  <c r="K502"/>
  <c r="I502"/>
  <c r="D502"/>
  <c r="C502"/>
  <c r="B502"/>
  <c r="A502"/>
  <c r="P501"/>
  <c r="O501"/>
  <c r="M501"/>
  <c r="L501"/>
  <c r="K501"/>
  <c r="I501"/>
  <c r="G501"/>
  <c r="C501"/>
  <c r="B501"/>
  <c r="A501"/>
  <c r="P500"/>
  <c r="O500"/>
  <c r="L500"/>
  <c r="K500"/>
  <c r="I500"/>
  <c r="D500"/>
  <c r="C500"/>
  <c r="B500"/>
  <c r="A500"/>
  <c r="P499"/>
  <c r="O499"/>
  <c r="M499"/>
  <c r="L499"/>
  <c r="K499"/>
  <c r="I499"/>
  <c r="G499"/>
  <c r="C499"/>
  <c r="B499"/>
  <c r="A499"/>
  <c r="P498"/>
  <c r="O498"/>
  <c r="M498"/>
  <c r="L498"/>
  <c r="K498"/>
  <c r="I498"/>
  <c r="G498"/>
  <c r="C498"/>
  <c r="B498"/>
  <c r="A498"/>
  <c r="P497"/>
  <c r="O497"/>
  <c r="M497"/>
  <c r="L497"/>
  <c r="K497"/>
  <c r="I497"/>
  <c r="G497"/>
  <c r="C497"/>
  <c r="B497"/>
  <c r="A497"/>
  <c r="P496"/>
  <c r="O496"/>
  <c r="L496"/>
  <c r="K496"/>
  <c r="I496"/>
  <c r="D496"/>
  <c r="C496"/>
  <c r="B496"/>
  <c r="A496"/>
  <c r="P495"/>
  <c r="O495"/>
  <c r="M495"/>
  <c r="L495"/>
  <c r="K495"/>
  <c r="I495"/>
  <c r="G495"/>
  <c r="C495"/>
  <c r="B495"/>
  <c r="A495"/>
  <c r="P494"/>
  <c r="O494"/>
  <c r="M494"/>
  <c r="L494"/>
  <c r="K494"/>
  <c r="I494"/>
  <c r="G494"/>
  <c r="C494"/>
  <c r="B494"/>
  <c r="A494"/>
  <c r="P493"/>
  <c r="O493"/>
  <c r="L493"/>
  <c r="K493"/>
  <c r="I493"/>
  <c r="G493"/>
  <c r="C493"/>
  <c r="B493"/>
  <c r="A493"/>
  <c r="P492"/>
  <c r="O492"/>
  <c r="M492"/>
  <c r="L492"/>
  <c r="K492"/>
  <c r="I492"/>
  <c r="G492"/>
  <c r="D492"/>
  <c r="C492"/>
  <c r="B492"/>
  <c r="A492"/>
  <c r="P491"/>
  <c r="O491"/>
  <c r="L491"/>
  <c r="K491"/>
  <c r="I491"/>
  <c r="D491"/>
  <c r="C491"/>
  <c r="B491"/>
  <c r="A491"/>
  <c r="P490"/>
  <c r="O490"/>
  <c r="N490"/>
  <c r="M490"/>
  <c r="L490"/>
  <c r="K490"/>
  <c r="I490"/>
  <c r="G490"/>
  <c r="D490"/>
  <c r="C490"/>
  <c r="B490"/>
  <c r="A490"/>
  <c r="P489"/>
  <c r="O489"/>
  <c r="N489"/>
  <c r="L489"/>
  <c r="K489"/>
  <c r="I489"/>
  <c r="D489"/>
  <c r="C489"/>
  <c r="B489"/>
  <c r="A489"/>
  <c r="P488"/>
  <c r="O488"/>
  <c r="N488"/>
  <c r="M488"/>
  <c r="L488"/>
  <c r="K488"/>
  <c r="I488"/>
  <c r="G488"/>
  <c r="D488"/>
  <c r="C488"/>
  <c r="B488"/>
  <c r="A488"/>
  <c r="P487"/>
  <c r="O487"/>
  <c r="N487"/>
  <c r="M487"/>
  <c r="L487"/>
  <c r="K487"/>
  <c r="I487"/>
  <c r="G487"/>
  <c r="D487"/>
  <c r="C487"/>
  <c r="B487"/>
  <c r="A487"/>
  <c r="P486"/>
  <c r="O486"/>
  <c r="N486"/>
  <c r="M486"/>
  <c r="L486"/>
  <c r="K486"/>
  <c r="I486"/>
  <c r="G486"/>
  <c r="D486"/>
  <c r="C486"/>
  <c r="B486"/>
  <c r="A486"/>
  <c r="P485"/>
  <c r="O485"/>
  <c r="N485"/>
  <c r="M485"/>
  <c r="L485"/>
  <c r="K485"/>
  <c r="I485"/>
  <c r="G485"/>
  <c r="D485"/>
  <c r="C485"/>
  <c r="B485"/>
  <c r="A485"/>
  <c r="P484"/>
  <c r="O484"/>
  <c r="N484"/>
  <c r="M484"/>
  <c r="L484"/>
  <c r="K484"/>
  <c r="I484"/>
  <c r="G484"/>
  <c r="D484"/>
  <c r="C484"/>
  <c r="B484"/>
  <c r="A484"/>
  <c r="P483"/>
  <c r="O483"/>
  <c r="M483"/>
  <c r="L483"/>
  <c r="K483"/>
  <c r="I483"/>
  <c r="G483"/>
  <c r="D483"/>
  <c r="C483"/>
  <c r="B483"/>
  <c r="A483"/>
  <c r="P482"/>
  <c r="O482"/>
  <c r="N482"/>
  <c r="M482"/>
  <c r="L482"/>
  <c r="K482"/>
  <c r="I482"/>
  <c r="G482"/>
  <c r="D482"/>
  <c r="C482"/>
  <c r="B482"/>
  <c r="A482"/>
  <c r="P481"/>
  <c r="O481"/>
  <c r="N481"/>
  <c r="M481"/>
  <c r="L481"/>
  <c r="K481"/>
  <c r="I481"/>
  <c r="G481"/>
  <c r="D481"/>
  <c r="C481"/>
  <c r="B481"/>
  <c r="A481"/>
  <c r="P480"/>
  <c r="O480"/>
  <c r="N480"/>
  <c r="M480"/>
  <c r="L480"/>
  <c r="K480"/>
  <c r="I480"/>
  <c r="G480"/>
  <c r="D480"/>
  <c r="C480"/>
  <c r="B480"/>
  <c r="A480"/>
  <c r="P479"/>
  <c r="O479"/>
  <c r="N479"/>
  <c r="M479"/>
  <c r="L479"/>
  <c r="K479"/>
  <c r="I479"/>
  <c r="G479"/>
  <c r="D479"/>
  <c r="C479"/>
  <c r="B479"/>
  <c r="A479"/>
  <c r="P478"/>
  <c r="O478"/>
  <c r="N478"/>
  <c r="M478"/>
  <c r="L478"/>
  <c r="K478"/>
  <c r="I478"/>
  <c r="G478"/>
  <c r="D478"/>
  <c r="C478"/>
  <c r="B478"/>
  <c r="A478"/>
  <c r="P477"/>
  <c r="O477"/>
  <c r="N477"/>
  <c r="M477"/>
  <c r="L477"/>
  <c r="K477"/>
  <c r="I477"/>
  <c r="G477"/>
  <c r="D477"/>
  <c r="C477"/>
  <c r="B477"/>
  <c r="A477"/>
  <c r="P476"/>
  <c r="O476"/>
  <c r="N476"/>
  <c r="M476"/>
  <c r="L476"/>
  <c r="K476"/>
  <c r="I476"/>
  <c r="G476"/>
  <c r="D476"/>
  <c r="C476"/>
  <c r="B476"/>
  <c r="A476"/>
  <c r="P475"/>
  <c r="O475"/>
  <c r="N475"/>
  <c r="M475"/>
  <c r="L475"/>
  <c r="K475"/>
  <c r="I475"/>
  <c r="G475"/>
  <c r="C475"/>
  <c r="B475"/>
  <c r="A475"/>
  <c r="P474"/>
  <c r="O474"/>
  <c r="L474"/>
  <c r="K474"/>
  <c r="I474"/>
  <c r="D474"/>
  <c r="C474"/>
  <c r="A474"/>
  <c r="P473"/>
  <c r="O473"/>
  <c r="N473"/>
  <c r="L473"/>
  <c r="K473"/>
  <c r="I473"/>
  <c r="D473"/>
  <c r="C473"/>
  <c r="B473"/>
  <c r="A473"/>
  <c r="P472"/>
  <c r="O472"/>
  <c r="N472"/>
  <c r="L472"/>
  <c r="K472"/>
  <c r="I472"/>
  <c r="D472"/>
  <c r="C472"/>
  <c r="B472"/>
  <c r="A472"/>
  <c r="P471"/>
  <c r="O471"/>
  <c r="N471"/>
  <c r="L471"/>
  <c r="K471"/>
  <c r="I471"/>
  <c r="D471"/>
  <c r="C471"/>
  <c r="B471"/>
  <c r="A471"/>
  <c r="P470"/>
  <c r="O470"/>
  <c r="L470"/>
  <c r="K470"/>
  <c r="I470"/>
  <c r="D470"/>
  <c r="C470"/>
  <c r="A470"/>
  <c r="P469"/>
  <c r="O469"/>
  <c r="L469"/>
  <c r="K469"/>
  <c r="I469"/>
  <c r="D469"/>
  <c r="C469"/>
  <c r="A469"/>
  <c r="P468"/>
  <c r="O468"/>
  <c r="L468"/>
  <c r="K468"/>
  <c r="I468"/>
  <c r="D468"/>
  <c r="C468"/>
  <c r="A468"/>
  <c r="P467"/>
  <c r="O467"/>
  <c r="L467"/>
  <c r="K467"/>
  <c r="I467"/>
  <c r="D467"/>
  <c r="C467"/>
  <c r="A467"/>
  <c r="P466"/>
  <c r="O466"/>
  <c r="L466"/>
  <c r="K466"/>
  <c r="I466"/>
  <c r="D466"/>
  <c r="C466"/>
  <c r="A466"/>
  <c r="P465"/>
  <c r="O465"/>
  <c r="L465"/>
  <c r="K465"/>
  <c r="I465"/>
  <c r="D465"/>
  <c r="C465"/>
  <c r="A465"/>
  <c r="P464"/>
  <c r="O464"/>
  <c r="L464"/>
  <c r="K464"/>
  <c r="I464"/>
  <c r="D464"/>
  <c r="C464"/>
  <c r="B464"/>
  <c r="A464"/>
  <c r="P463"/>
  <c r="O463"/>
  <c r="K463"/>
  <c r="I463"/>
  <c r="D463"/>
  <c r="C463"/>
  <c r="B463"/>
  <c r="A463"/>
  <c r="P462"/>
  <c r="O462"/>
  <c r="L462"/>
  <c r="K462"/>
  <c r="I462"/>
  <c r="D462"/>
  <c r="C462"/>
  <c r="A462"/>
  <c r="P461"/>
  <c r="O461"/>
  <c r="N461"/>
  <c r="L461"/>
  <c r="K461"/>
  <c r="I461"/>
  <c r="D461"/>
  <c r="C461"/>
  <c r="B461"/>
  <c r="A461"/>
  <c r="P460"/>
  <c r="O460"/>
  <c r="L460"/>
  <c r="K460"/>
  <c r="I460"/>
  <c r="D460"/>
  <c r="C460"/>
  <c r="A460"/>
  <c r="P459"/>
  <c r="O459"/>
  <c r="L459"/>
  <c r="K459"/>
  <c r="I459"/>
  <c r="D459"/>
  <c r="C459"/>
  <c r="B459"/>
  <c r="A459"/>
  <c r="P458"/>
  <c r="O458"/>
  <c r="L458"/>
  <c r="K458"/>
  <c r="I458"/>
  <c r="D458"/>
  <c r="C458"/>
  <c r="A458"/>
  <c r="P457"/>
  <c r="O457"/>
  <c r="L457"/>
  <c r="K457"/>
  <c r="I457"/>
  <c r="D457"/>
  <c r="C457"/>
  <c r="A457"/>
  <c r="P456"/>
  <c r="O456"/>
  <c r="L456"/>
  <c r="K456"/>
  <c r="I456"/>
  <c r="D456"/>
  <c r="C456"/>
  <c r="A456"/>
  <c r="P455"/>
  <c r="O455"/>
  <c r="L455"/>
  <c r="K455"/>
  <c r="I455"/>
  <c r="D455"/>
  <c r="C455"/>
  <c r="B455"/>
  <c r="A455"/>
  <c r="P454"/>
  <c r="O454"/>
  <c r="L454"/>
  <c r="K454"/>
  <c r="I454"/>
  <c r="D454"/>
  <c r="C454"/>
  <c r="B454"/>
  <c r="A454"/>
  <c r="P453"/>
  <c r="O453"/>
  <c r="L453"/>
  <c r="K453"/>
  <c r="I453"/>
  <c r="D453"/>
  <c r="C453"/>
  <c r="B453"/>
  <c r="A453"/>
  <c r="P452"/>
  <c r="O452"/>
  <c r="L452"/>
  <c r="K452"/>
  <c r="I452"/>
  <c r="D452"/>
  <c r="C452"/>
  <c r="B452"/>
  <c r="A452"/>
  <c r="P451"/>
  <c r="O451"/>
  <c r="L451"/>
  <c r="K451"/>
  <c r="I451"/>
  <c r="D451"/>
  <c r="C451"/>
  <c r="A451"/>
  <c r="P450"/>
  <c r="O450"/>
  <c r="L450"/>
  <c r="K450"/>
  <c r="I450"/>
  <c r="D450"/>
  <c r="C450"/>
  <c r="A450"/>
  <c r="P449"/>
  <c r="O449"/>
  <c r="L449"/>
  <c r="K449"/>
  <c r="I449"/>
  <c r="D449"/>
  <c r="C449"/>
  <c r="A449"/>
  <c r="P448"/>
  <c r="O448"/>
  <c r="L448"/>
  <c r="K448"/>
  <c r="D448"/>
  <c r="C448"/>
  <c r="A448"/>
  <c r="P447"/>
  <c r="O447"/>
  <c r="L447"/>
  <c r="K447"/>
  <c r="I447"/>
  <c r="D447"/>
  <c r="C447"/>
  <c r="A447"/>
  <c r="P446"/>
  <c r="O446"/>
  <c r="L446"/>
  <c r="K446"/>
  <c r="I446"/>
  <c r="D446"/>
  <c r="C446"/>
  <c r="A446"/>
  <c r="P445"/>
  <c r="O445"/>
  <c r="L445"/>
  <c r="K445"/>
  <c r="I445"/>
  <c r="D445"/>
  <c r="C445"/>
  <c r="A445"/>
  <c r="P444"/>
  <c r="O444"/>
  <c r="L444"/>
  <c r="K444"/>
  <c r="I444"/>
  <c r="D444"/>
  <c r="C444"/>
  <c r="A444"/>
  <c r="P443"/>
  <c r="O443"/>
  <c r="L443"/>
  <c r="K443"/>
  <c r="I443"/>
  <c r="D443"/>
  <c r="C443"/>
  <c r="A443"/>
  <c r="P442"/>
  <c r="O442"/>
  <c r="L442"/>
  <c r="K442"/>
  <c r="I442"/>
  <c r="D442"/>
  <c r="C442"/>
  <c r="A442"/>
  <c r="P441"/>
  <c r="O441"/>
  <c r="L441"/>
  <c r="K441"/>
  <c r="I441"/>
  <c r="D441"/>
  <c r="C441"/>
  <c r="A441"/>
  <c r="P440"/>
  <c r="O440"/>
  <c r="L440"/>
  <c r="K440"/>
  <c r="I440"/>
  <c r="D440"/>
  <c r="C440"/>
  <c r="A440"/>
  <c r="P439"/>
  <c r="O439"/>
  <c r="L439"/>
  <c r="K439"/>
  <c r="I439"/>
  <c r="D439"/>
  <c r="C439"/>
  <c r="A439"/>
  <c r="P438"/>
  <c r="O438"/>
  <c r="L438"/>
  <c r="K438"/>
  <c r="I438"/>
  <c r="D438"/>
  <c r="C438"/>
  <c r="A438"/>
  <c r="P437"/>
  <c r="O437"/>
  <c r="L437"/>
  <c r="K437"/>
  <c r="I437"/>
  <c r="D437"/>
  <c r="C437"/>
  <c r="A437"/>
  <c r="P436"/>
  <c r="O436"/>
  <c r="L436"/>
  <c r="K436"/>
  <c r="I436"/>
  <c r="D436"/>
  <c r="C436"/>
  <c r="B436"/>
  <c r="A436"/>
  <c r="P435"/>
  <c r="O435"/>
  <c r="L435"/>
  <c r="K435"/>
  <c r="D435"/>
  <c r="C435"/>
  <c r="B435"/>
  <c r="A435"/>
  <c r="P434"/>
  <c r="O434"/>
  <c r="L434"/>
  <c r="K434"/>
  <c r="I434"/>
  <c r="D434"/>
  <c r="C434"/>
  <c r="A434"/>
  <c r="P433"/>
  <c r="O433"/>
  <c r="L433"/>
  <c r="K433"/>
  <c r="I433"/>
  <c r="D433"/>
  <c r="C433"/>
  <c r="A433"/>
  <c r="P432"/>
  <c r="O432"/>
  <c r="L432"/>
  <c r="K432"/>
  <c r="I432"/>
  <c r="D432"/>
  <c r="C432"/>
  <c r="A432"/>
  <c r="P431"/>
  <c r="O431"/>
  <c r="L431"/>
  <c r="K431"/>
  <c r="I431"/>
  <c r="D431"/>
  <c r="C431"/>
  <c r="A431"/>
  <c r="P430"/>
  <c r="O430"/>
  <c r="L430"/>
  <c r="K430"/>
  <c r="I430"/>
  <c r="D430"/>
  <c r="C430"/>
  <c r="B430"/>
  <c r="A430"/>
  <c r="P429"/>
  <c r="O429"/>
  <c r="L429"/>
  <c r="K429"/>
  <c r="I429"/>
  <c r="D429"/>
  <c r="C429"/>
  <c r="B429"/>
  <c r="A429"/>
  <c r="P428"/>
  <c r="O428"/>
  <c r="L428"/>
  <c r="K428"/>
  <c r="I428"/>
  <c r="D428"/>
  <c r="C428"/>
  <c r="A428"/>
  <c r="P427"/>
  <c r="O427"/>
  <c r="L427"/>
  <c r="K427"/>
  <c r="I427"/>
  <c r="D427"/>
  <c r="C427"/>
  <c r="A427"/>
  <c r="P426"/>
  <c r="O426"/>
  <c r="L426"/>
  <c r="K426"/>
  <c r="I426"/>
  <c r="D426"/>
  <c r="C426"/>
  <c r="A426"/>
  <c r="P425"/>
  <c r="O425"/>
  <c r="L425"/>
  <c r="K425"/>
  <c r="I425"/>
  <c r="D425"/>
  <c r="C425"/>
  <c r="A425"/>
  <c r="P424"/>
  <c r="O424"/>
  <c r="L424"/>
  <c r="K424"/>
  <c r="I424"/>
  <c r="D424"/>
  <c r="C424"/>
  <c r="A424"/>
  <c r="P423"/>
  <c r="O423"/>
  <c r="L423"/>
  <c r="K423"/>
  <c r="D423"/>
  <c r="C423"/>
  <c r="A423"/>
  <c r="P422"/>
  <c r="O422"/>
  <c r="L422"/>
  <c r="K422"/>
  <c r="I422"/>
  <c r="D422"/>
  <c r="C422"/>
  <c r="A422"/>
  <c r="P421"/>
  <c r="O421"/>
  <c r="L421"/>
  <c r="K421"/>
  <c r="I421"/>
  <c r="D421"/>
  <c r="C421"/>
  <c r="A421"/>
  <c r="P420"/>
  <c r="O420"/>
  <c r="L420"/>
  <c r="K420"/>
  <c r="I420"/>
  <c r="D420"/>
  <c r="C420"/>
  <c r="A420"/>
  <c r="P419"/>
  <c r="O419"/>
  <c r="L419"/>
  <c r="K419"/>
  <c r="I419"/>
  <c r="D419"/>
  <c r="C419"/>
  <c r="A419"/>
  <c r="P418"/>
  <c r="O418"/>
  <c r="L418"/>
  <c r="K418"/>
  <c r="I418"/>
  <c r="D418"/>
  <c r="C418"/>
  <c r="A418"/>
  <c r="P417"/>
  <c r="O417"/>
  <c r="L417"/>
  <c r="K417"/>
  <c r="I417"/>
  <c r="D417"/>
  <c r="C417"/>
  <c r="A417"/>
  <c r="P416"/>
  <c r="O416"/>
  <c r="L416"/>
  <c r="K416"/>
  <c r="I416"/>
  <c r="D416"/>
  <c r="C416"/>
  <c r="A416"/>
  <c r="P415"/>
  <c r="O415"/>
  <c r="N415"/>
  <c r="L415"/>
  <c r="K415"/>
  <c r="I415"/>
  <c r="D415"/>
  <c r="C415"/>
  <c r="B415"/>
  <c r="A415"/>
  <c r="P414"/>
  <c r="O414"/>
  <c r="L414"/>
  <c r="K414"/>
  <c r="D414"/>
  <c r="C414"/>
  <c r="A414"/>
  <c r="P413"/>
  <c r="O413"/>
  <c r="L413"/>
  <c r="K413"/>
  <c r="I413"/>
  <c r="D413"/>
  <c r="C413"/>
  <c r="A413"/>
  <c r="P412"/>
  <c r="O412"/>
  <c r="L412"/>
  <c r="K412"/>
  <c r="I412"/>
  <c r="D412"/>
  <c r="C412"/>
  <c r="B412"/>
  <c r="A412"/>
  <c r="P411"/>
  <c r="O411"/>
  <c r="L411"/>
  <c r="K411"/>
  <c r="I411"/>
  <c r="C411"/>
  <c r="B411"/>
  <c r="A411"/>
  <c r="P410"/>
  <c r="O410"/>
  <c r="L410"/>
  <c r="K410"/>
  <c r="I410"/>
  <c r="D410"/>
  <c r="C410"/>
  <c r="B410"/>
  <c r="A410"/>
  <c r="P409"/>
  <c r="O409"/>
  <c r="L409"/>
  <c r="K409"/>
  <c r="I409"/>
  <c r="D409"/>
  <c r="C409"/>
  <c r="B409"/>
  <c r="A409"/>
  <c r="P408"/>
  <c r="O408"/>
  <c r="L408"/>
  <c r="K408"/>
  <c r="I408"/>
  <c r="D408"/>
  <c r="C408"/>
  <c r="B408"/>
  <c r="A408"/>
  <c r="P407"/>
  <c r="O407"/>
  <c r="L407"/>
  <c r="K407"/>
  <c r="I407"/>
  <c r="D407"/>
  <c r="C407"/>
  <c r="B407"/>
  <c r="A407"/>
  <c r="P406"/>
  <c r="O406"/>
  <c r="L406"/>
  <c r="K406"/>
  <c r="I406"/>
  <c r="D406"/>
  <c r="C406"/>
  <c r="B406"/>
  <c r="A406"/>
  <c r="P405"/>
  <c r="O405"/>
  <c r="L405"/>
  <c r="K405"/>
  <c r="I405"/>
  <c r="D405"/>
  <c r="C405"/>
  <c r="B405"/>
  <c r="A405"/>
  <c r="P404"/>
  <c r="O404"/>
  <c r="L404"/>
  <c r="K404"/>
  <c r="I404"/>
  <c r="D404"/>
  <c r="C404"/>
  <c r="B404"/>
  <c r="A404"/>
  <c r="P403"/>
  <c r="O403"/>
  <c r="L403"/>
  <c r="K403"/>
  <c r="I403"/>
  <c r="D403"/>
  <c r="C403"/>
  <c r="B403"/>
  <c r="A403"/>
  <c r="P402"/>
  <c r="O402"/>
  <c r="L402"/>
  <c r="K402"/>
  <c r="I402"/>
  <c r="D402"/>
  <c r="C402"/>
  <c r="B402"/>
  <c r="A402"/>
  <c r="P401"/>
  <c r="O401"/>
  <c r="L401"/>
  <c r="K401"/>
  <c r="I401"/>
  <c r="D401"/>
  <c r="C401"/>
  <c r="B401"/>
  <c r="A401"/>
  <c r="P400"/>
  <c r="O400"/>
  <c r="L400"/>
  <c r="K400"/>
  <c r="I400"/>
  <c r="D400"/>
  <c r="C400"/>
  <c r="B400"/>
  <c r="A400"/>
  <c r="P399"/>
  <c r="O399"/>
  <c r="L399"/>
  <c r="K399"/>
  <c r="I399"/>
  <c r="D399"/>
  <c r="C399"/>
  <c r="B399"/>
  <c r="A399"/>
  <c r="P398"/>
  <c r="O398"/>
  <c r="L398"/>
  <c r="K398"/>
  <c r="I398"/>
  <c r="D398"/>
  <c r="C398"/>
  <c r="B398"/>
  <c r="A398"/>
  <c r="P397"/>
  <c r="O397"/>
  <c r="L397"/>
  <c r="K397"/>
  <c r="I397"/>
  <c r="D397"/>
  <c r="C397"/>
  <c r="B397"/>
  <c r="A397"/>
  <c r="P396"/>
  <c r="O396"/>
  <c r="L396"/>
  <c r="K396"/>
  <c r="I396"/>
  <c r="D396"/>
  <c r="C396"/>
  <c r="B396"/>
  <c r="A396"/>
  <c r="P395"/>
  <c r="O395"/>
  <c r="L395"/>
  <c r="K395"/>
  <c r="I395"/>
  <c r="D395"/>
  <c r="C395"/>
  <c r="B395"/>
  <c r="A395"/>
  <c r="P394"/>
  <c r="O394"/>
  <c r="L394"/>
  <c r="K394"/>
  <c r="I394"/>
  <c r="D394"/>
  <c r="C394"/>
  <c r="A394"/>
  <c r="P393"/>
  <c r="O393"/>
  <c r="L393"/>
  <c r="K393"/>
  <c r="I393"/>
  <c r="D393"/>
  <c r="C393"/>
  <c r="A393"/>
  <c r="P392"/>
  <c r="O392"/>
  <c r="L392"/>
  <c r="K392"/>
  <c r="I392"/>
  <c r="D392"/>
  <c r="C392"/>
  <c r="A392"/>
  <c r="P391"/>
  <c r="O391"/>
  <c r="L391"/>
  <c r="K391"/>
  <c r="I391"/>
  <c r="D391"/>
  <c r="C391"/>
  <c r="A391"/>
  <c r="P390"/>
  <c r="O390"/>
  <c r="L390"/>
  <c r="K390"/>
  <c r="I390"/>
  <c r="D390"/>
  <c r="C390"/>
  <c r="A390"/>
  <c r="P389"/>
  <c r="O389"/>
  <c r="L389"/>
  <c r="K389"/>
  <c r="I389"/>
  <c r="D389"/>
  <c r="C389"/>
  <c r="A389"/>
  <c r="P388"/>
  <c r="O388"/>
  <c r="L388"/>
  <c r="K388"/>
  <c r="I388"/>
  <c r="D388"/>
  <c r="C388"/>
  <c r="A388"/>
  <c r="P387"/>
  <c r="O387"/>
  <c r="L387"/>
  <c r="K387"/>
  <c r="I387"/>
  <c r="D387"/>
  <c r="C387"/>
  <c r="A387"/>
  <c r="P386"/>
  <c r="O386"/>
  <c r="N386"/>
  <c r="L386"/>
  <c r="K386"/>
  <c r="I386"/>
  <c r="D386"/>
  <c r="C386"/>
  <c r="B386"/>
  <c r="A386"/>
  <c r="P385"/>
  <c r="O385"/>
  <c r="L385"/>
  <c r="K385"/>
  <c r="I385"/>
  <c r="D385"/>
  <c r="C385"/>
  <c r="A385"/>
  <c r="P384"/>
  <c r="O384"/>
  <c r="L384"/>
  <c r="K384"/>
  <c r="D384"/>
  <c r="C384"/>
  <c r="A384"/>
  <c r="P383"/>
  <c r="O383"/>
  <c r="L383"/>
  <c r="K383"/>
  <c r="I383"/>
  <c r="D383"/>
  <c r="C383"/>
  <c r="A383"/>
  <c r="P382"/>
  <c r="O382"/>
  <c r="L382"/>
  <c r="K382"/>
  <c r="I382"/>
  <c r="D382"/>
  <c r="C382"/>
  <c r="A382"/>
  <c r="P381"/>
  <c r="O381"/>
  <c r="L381"/>
  <c r="K381"/>
  <c r="D381"/>
  <c r="C381"/>
  <c r="A381"/>
  <c r="P380"/>
  <c r="O380"/>
  <c r="N380"/>
  <c r="L380"/>
  <c r="K380"/>
  <c r="I380"/>
  <c r="D380"/>
  <c r="C380"/>
  <c r="B380"/>
  <c r="A380"/>
  <c r="P379"/>
  <c r="O379"/>
  <c r="L379"/>
  <c r="K379"/>
  <c r="I379"/>
  <c r="D379"/>
  <c r="C379"/>
  <c r="A379"/>
  <c r="P378"/>
  <c r="O378"/>
  <c r="L378"/>
  <c r="K378"/>
  <c r="I378"/>
  <c r="D378"/>
  <c r="C378"/>
  <c r="A378"/>
  <c r="P377"/>
  <c r="O377"/>
  <c r="L377"/>
  <c r="K377"/>
  <c r="I377"/>
  <c r="D377"/>
  <c r="C377"/>
  <c r="A377"/>
  <c r="P376"/>
  <c r="O376"/>
  <c r="L376"/>
  <c r="K376"/>
  <c r="I376"/>
  <c r="D376"/>
  <c r="C376"/>
  <c r="A376"/>
  <c r="P375"/>
  <c r="O375"/>
  <c r="L375"/>
  <c r="K375"/>
  <c r="I375"/>
  <c r="D375"/>
  <c r="C375"/>
  <c r="A375"/>
  <c r="P374"/>
  <c r="O374"/>
  <c r="L374"/>
  <c r="K374"/>
  <c r="I374"/>
  <c r="D374"/>
  <c r="C374"/>
  <c r="A374"/>
  <c r="P373"/>
  <c r="O373"/>
  <c r="L373"/>
  <c r="K373"/>
  <c r="I373"/>
  <c r="D373"/>
  <c r="C373"/>
  <c r="A373"/>
  <c r="P372"/>
  <c r="O372"/>
  <c r="L372"/>
  <c r="K372"/>
  <c r="I372"/>
  <c r="D372"/>
  <c r="C372"/>
  <c r="A372"/>
  <c r="P371"/>
  <c r="O371"/>
  <c r="L371"/>
  <c r="K371"/>
  <c r="I371"/>
  <c r="D371"/>
  <c r="C371"/>
  <c r="B371"/>
  <c r="A371"/>
  <c r="P370"/>
  <c r="O370"/>
  <c r="L370"/>
  <c r="K370"/>
  <c r="I370"/>
  <c r="D370"/>
  <c r="C370"/>
  <c r="B370"/>
  <c r="A370"/>
  <c r="P369"/>
  <c r="O369"/>
  <c r="L369"/>
  <c r="K369"/>
  <c r="I369"/>
  <c r="D369"/>
  <c r="C369"/>
  <c r="A369"/>
  <c r="P368"/>
  <c r="O368"/>
  <c r="L368"/>
  <c r="K368"/>
  <c r="I368"/>
  <c r="D368"/>
  <c r="C368"/>
  <c r="B368"/>
  <c r="A368"/>
  <c r="P367"/>
  <c r="O367"/>
  <c r="L367"/>
  <c r="K367"/>
  <c r="I367"/>
  <c r="D367"/>
  <c r="C367"/>
  <c r="A367"/>
  <c r="P366"/>
  <c r="O366"/>
  <c r="L366"/>
  <c r="K366"/>
  <c r="I366"/>
  <c r="D366"/>
  <c r="C366"/>
  <c r="A366"/>
  <c r="P365"/>
  <c r="O365"/>
  <c r="L365"/>
  <c r="K365"/>
  <c r="I365"/>
  <c r="D365"/>
  <c r="C365"/>
  <c r="A365"/>
  <c r="P364"/>
  <c r="O364"/>
  <c r="L364"/>
  <c r="K364"/>
  <c r="I364"/>
  <c r="D364"/>
  <c r="C364"/>
  <c r="A364"/>
  <c r="P363"/>
  <c r="O363"/>
  <c r="L363"/>
  <c r="K363"/>
  <c r="I363"/>
  <c r="D363"/>
  <c r="C363"/>
  <c r="A363"/>
  <c r="P362"/>
  <c r="O362"/>
  <c r="L362"/>
  <c r="K362"/>
  <c r="I362"/>
  <c r="D362"/>
  <c r="C362"/>
  <c r="A362"/>
  <c r="P361"/>
  <c r="O361"/>
  <c r="L361"/>
  <c r="K361"/>
  <c r="I361"/>
  <c r="D361"/>
  <c r="C361"/>
  <c r="A361"/>
  <c r="P360"/>
  <c r="O360"/>
  <c r="L360"/>
  <c r="K360"/>
  <c r="I360"/>
  <c r="D360"/>
  <c r="C360"/>
  <c r="A360"/>
  <c r="P359"/>
  <c r="O359"/>
  <c r="M359"/>
  <c r="L359"/>
  <c r="K359"/>
  <c r="I359"/>
  <c r="G359"/>
  <c r="D359"/>
  <c r="C359"/>
  <c r="A359"/>
  <c r="P358"/>
  <c r="O358"/>
  <c r="L358"/>
  <c r="K358"/>
  <c r="I358"/>
  <c r="D358"/>
  <c r="C358"/>
  <c r="B358"/>
  <c r="A358"/>
  <c r="P357"/>
  <c r="O357"/>
  <c r="L357"/>
  <c r="K357"/>
  <c r="I357"/>
  <c r="D357"/>
  <c r="C357"/>
  <c r="A357"/>
  <c r="P356"/>
  <c r="O356"/>
  <c r="L356"/>
  <c r="K356"/>
  <c r="I356"/>
  <c r="D356"/>
  <c r="C356"/>
  <c r="A356"/>
  <c r="P355"/>
  <c r="O355"/>
  <c r="L355"/>
  <c r="K355"/>
  <c r="I355"/>
  <c r="D355"/>
  <c r="C355"/>
  <c r="B355"/>
  <c r="A355"/>
  <c r="P354"/>
  <c r="O354"/>
  <c r="L354"/>
  <c r="K354"/>
  <c r="I354"/>
  <c r="D354"/>
  <c r="C354"/>
  <c r="A354"/>
  <c r="P353"/>
  <c r="O353"/>
  <c r="L353"/>
  <c r="K353"/>
  <c r="I353"/>
  <c r="D353"/>
  <c r="C353"/>
  <c r="B353"/>
  <c r="A353"/>
  <c r="P352"/>
  <c r="O352"/>
  <c r="L352"/>
  <c r="K352"/>
  <c r="I352"/>
  <c r="D352"/>
  <c r="C352"/>
  <c r="A352"/>
  <c r="P351"/>
  <c r="O351"/>
  <c r="L351"/>
  <c r="K351"/>
  <c r="I351"/>
  <c r="D351"/>
  <c r="C351"/>
  <c r="A351"/>
  <c r="P350"/>
  <c r="O350"/>
  <c r="L350"/>
  <c r="K350"/>
  <c r="I350"/>
  <c r="D350"/>
  <c r="C350"/>
  <c r="A350"/>
  <c r="P349"/>
  <c r="O349"/>
  <c r="L349"/>
  <c r="K349"/>
  <c r="I349"/>
  <c r="D349"/>
  <c r="C349"/>
  <c r="A349"/>
  <c r="P348"/>
  <c r="O348"/>
  <c r="L348"/>
  <c r="K348"/>
  <c r="I348"/>
  <c r="D348"/>
  <c r="C348"/>
  <c r="A348"/>
  <c r="P347"/>
  <c r="O347"/>
  <c r="L347"/>
  <c r="K347"/>
  <c r="I347"/>
  <c r="D347"/>
  <c r="C347"/>
  <c r="A347"/>
  <c r="P346"/>
  <c r="O346"/>
  <c r="L346"/>
  <c r="K346"/>
  <c r="I346"/>
  <c r="D346"/>
  <c r="C346"/>
  <c r="A346"/>
  <c r="P345"/>
  <c r="O345"/>
  <c r="L345"/>
  <c r="K345"/>
  <c r="I345"/>
  <c r="D345"/>
  <c r="C345"/>
  <c r="B345"/>
  <c r="A345"/>
  <c r="P344"/>
  <c r="O344"/>
  <c r="L344"/>
  <c r="K344"/>
  <c r="I344"/>
  <c r="D344"/>
  <c r="C344"/>
  <c r="A344"/>
  <c r="P343"/>
  <c r="O343"/>
  <c r="L343"/>
  <c r="K343"/>
  <c r="I343"/>
  <c r="D343"/>
  <c r="C343"/>
  <c r="A343"/>
  <c r="P342"/>
  <c r="O342"/>
  <c r="L342"/>
  <c r="K342"/>
  <c r="I342"/>
  <c r="D342"/>
  <c r="C342"/>
  <c r="A342"/>
  <c r="P341"/>
  <c r="O341"/>
  <c r="L341"/>
  <c r="K341"/>
  <c r="I341"/>
  <c r="D341"/>
  <c r="C341"/>
  <c r="A341"/>
  <c r="P340"/>
  <c r="O340"/>
  <c r="L340"/>
  <c r="K340"/>
  <c r="I340"/>
  <c r="D340"/>
  <c r="C340"/>
  <c r="A340"/>
  <c r="P339"/>
  <c r="O339"/>
  <c r="L339"/>
  <c r="K339"/>
  <c r="I339"/>
  <c r="D339"/>
  <c r="C339"/>
  <c r="B339"/>
  <c r="A339"/>
  <c r="P338"/>
  <c r="O338"/>
  <c r="L338"/>
  <c r="K338"/>
  <c r="I338"/>
  <c r="D338"/>
  <c r="C338"/>
  <c r="A338"/>
  <c r="P337"/>
  <c r="O337"/>
  <c r="L337"/>
  <c r="K337"/>
  <c r="I337"/>
  <c r="D337"/>
  <c r="C337"/>
  <c r="A337"/>
  <c r="P336"/>
  <c r="O336"/>
  <c r="L336"/>
  <c r="K336"/>
  <c r="I336"/>
  <c r="D336"/>
  <c r="C336"/>
  <c r="A336"/>
  <c r="P335"/>
  <c r="O335"/>
  <c r="L335"/>
  <c r="K335"/>
  <c r="I335"/>
  <c r="D335"/>
  <c r="C335"/>
  <c r="A335"/>
  <c r="P334"/>
  <c r="O334"/>
  <c r="L334"/>
  <c r="K334"/>
  <c r="I334"/>
  <c r="D334"/>
  <c r="C334"/>
  <c r="A334"/>
  <c r="P333"/>
  <c r="O333"/>
  <c r="L333"/>
  <c r="K333"/>
  <c r="I333"/>
  <c r="D333"/>
  <c r="C333"/>
  <c r="A333"/>
  <c r="P332"/>
  <c r="O332"/>
  <c r="L332"/>
  <c r="K332"/>
  <c r="I332"/>
  <c r="D332"/>
  <c r="C332"/>
  <c r="A332"/>
  <c r="P331"/>
  <c r="O331"/>
  <c r="L331"/>
  <c r="K331"/>
  <c r="I331"/>
  <c r="D331"/>
  <c r="C331"/>
  <c r="A331"/>
  <c r="P330"/>
  <c r="O330"/>
  <c r="L330"/>
  <c r="K330"/>
  <c r="I330"/>
  <c r="D330"/>
  <c r="C330"/>
  <c r="A330"/>
  <c r="P329"/>
  <c r="O329"/>
  <c r="L329"/>
  <c r="K329"/>
  <c r="I329"/>
  <c r="D329"/>
  <c r="C329"/>
  <c r="A329"/>
  <c r="P328"/>
  <c r="O328"/>
  <c r="L328"/>
  <c r="K328"/>
  <c r="I328"/>
  <c r="D328"/>
  <c r="C328"/>
  <c r="A328"/>
  <c r="P327"/>
  <c r="O327"/>
  <c r="L327"/>
  <c r="K327"/>
  <c r="I327"/>
  <c r="D327"/>
  <c r="C327"/>
  <c r="B327"/>
  <c r="A327"/>
  <c r="P326"/>
  <c r="O326"/>
  <c r="L326"/>
  <c r="K326"/>
  <c r="I326"/>
  <c r="D326"/>
  <c r="C326"/>
  <c r="A326"/>
  <c r="P325"/>
  <c r="O325"/>
  <c r="L325"/>
  <c r="K325"/>
  <c r="I325"/>
  <c r="D325"/>
  <c r="C325"/>
  <c r="A325"/>
  <c r="P324"/>
  <c r="O324"/>
  <c r="L324"/>
  <c r="K324"/>
  <c r="I324"/>
  <c r="D324"/>
  <c r="C324"/>
  <c r="A324"/>
  <c r="P323"/>
  <c r="O323"/>
  <c r="L323"/>
  <c r="K323"/>
  <c r="I323"/>
  <c r="D323"/>
  <c r="C323"/>
  <c r="A323"/>
  <c r="P322"/>
  <c r="O322"/>
  <c r="L322"/>
  <c r="K322"/>
  <c r="I322"/>
  <c r="D322"/>
  <c r="C322"/>
  <c r="A322"/>
  <c r="P321"/>
  <c r="O321"/>
  <c r="L321"/>
  <c r="K321"/>
  <c r="I321"/>
  <c r="D321"/>
  <c r="C321"/>
  <c r="A321"/>
  <c r="P320"/>
  <c r="O320"/>
  <c r="L320"/>
  <c r="K320"/>
  <c r="I320"/>
  <c r="D320"/>
  <c r="C320"/>
  <c r="B320"/>
  <c r="A320"/>
  <c r="P319"/>
  <c r="O319"/>
  <c r="L319"/>
  <c r="K319"/>
  <c r="I319"/>
  <c r="D319"/>
  <c r="C319"/>
  <c r="B319"/>
  <c r="A319"/>
  <c r="P318"/>
  <c r="O318"/>
  <c r="L318"/>
  <c r="K318"/>
  <c r="I318"/>
  <c r="D318"/>
  <c r="C318"/>
  <c r="A318"/>
  <c r="P317"/>
  <c r="O317"/>
  <c r="L317"/>
  <c r="K317"/>
  <c r="I317"/>
  <c r="D317"/>
  <c r="C317"/>
  <c r="A317"/>
  <c r="P316"/>
  <c r="O316"/>
  <c r="L316"/>
  <c r="K316"/>
  <c r="I316"/>
  <c r="D316"/>
  <c r="C316"/>
  <c r="A316"/>
  <c r="P315"/>
  <c r="O315"/>
  <c r="L315"/>
  <c r="K315"/>
  <c r="I315"/>
  <c r="D315"/>
  <c r="C315"/>
  <c r="A315"/>
  <c r="P314"/>
  <c r="O314"/>
  <c r="L314"/>
  <c r="K314"/>
  <c r="I314"/>
  <c r="D314"/>
  <c r="C314"/>
  <c r="A314"/>
  <c r="P313"/>
  <c r="O313"/>
  <c r="L313"/>
  <c r="K313"/>
  <c r="I313"/>
  <c r="D313"/>
  <c r="C313"/>
  <c r="A313"/>
  <c r="P312"/>
  <c r="O312"/>
  <c r="L312"/>
  <c r="K312"/>
  <c r="I312"/>
  <c r="D312"/>
  <c r="C312"/>
  <c r="A312"/>
  <c r="P311"/>
  <c r="O311"/>
  <c r="L311"/>
  <c r="K311"/>
  <c r="I311"/>
  <c r="D311"/>
  <c r="C311"/>
  <c r="A311"/>
  <c r="P310"/>
  <c r="O310"/>
  <c r="L310"/>
  <c r="K310"/>
  <c r="C310"/>
  <c r="B310"/>
  <c r="A310"/>
  <c r="P309"/>
  <c r="O309"/>
  <c r="N309"/>
  <c r="L309"/>
  <c r="K309"/>
  <c r="I309"/>
  <c r="D309"/>
  <c r="C309"/>
  <c r="B309"/>
  <c r="A309"/>
  <c r="P308"/>
  <c r="O308"/>
  <c r="L308"/>
  <c r="K308"/>
  <c r="I308"/>
  <c r="D308"/>
  <c r="C308"/>
  <c r="A308"/>
  <c r="P307"/>
  <c r="O307"/>
  <c r="N307"/>
  <c r="L307"/>
  <c r="K307"/>
  <c r="I307"/>
  <c r="D307"/>
  <c r="C307"/>
  <c r="B307"/>
  <c r="A307"/>
  <c r="P306"/>
  <c r="O306"/>
  <c r="L306"/>
  <c r="K306"/>
  <c r="I306"/>
  <c r="D306"/>
  <c r="C306"/>
  <c r="B306"/>
  <c r="A306"/>
  <c r="P305"/>
  <c r="O305"/>
  <c r="L305"/>
  <c r="K305"/>
  <c r="I305"/>
  <c r="D305"/>
  <c r="C305"/>
  <c r="A305"/>
  <c r="P304"/>
  <c r="O304"/>
  <c r="L304"/>
  <c r="K304"/>
  <c r="I304"/>
  <c r="C304"/>
  <c r="B304"/>
  <c r="A304"/>
  <c r="P303"/>
  <c r="O303"/>
  <c r="I303"/>
  <c r="D303"/>
  <c r="C303"/>
  <c r="B303"/>
  <c r="A303"/>
  <c r="P302"/>
  <c r="O302"/>
  <c r="L302"/>
  <c r="K302"/>
  <c r="I302"/>
  <c r="D302"/>
  <c r="C302"/>
  <c r="A302"/>
  <c r="P301"/>
  <c r="O301"/>
  <c r="L301"/>
  <c r="K301"/>
  <c r="I301"/>
  <c r="D301"/>
  <c r="C301"/>
  <c r="B301"/>
  <c r="A301"/>
  <c r="P300"/>
  <c r="O300"/>
  <c r="N300"/>
  <c r="L300"/>
  <c r="K300"/>
  <c r="I300"/>
  <c r="D300"/>
  <c r="C300"/>
  <c r="B300"/>
  <c r="A300"/>
  <c r="P299"/>
  <c r="O299"/>
  <c r="N299"/>
  <c r="L299"/>
  <c r="K299"/>
  <c r="I299"/>
  <c r="D299"/>
  <c r="C299"/>
  <c r="B299"/>
  <c r="A299"/>
  <c r="P298"/>
  <c r="O298"/>
  <c r="M298"/>
  <c r="L298"/>
  <c r="K298"/>
  <c r="I298"/>
  <c r="G298"/>
  <c r="C298"/>
  <c r="A298"/>
  <c r="P297"/>
  <c r="O297"/>
  <c r="L297"/>
  <c r="K297"/>
  <c r="I297"/>
  <c r="C297"/>
  <c r="A297"/>
  <c r="P296"/>
  <c r="O296"/>
  <c r="L296"/>
  <c r="K296"/>
  <c r="I296"/>
  <c r="D296"/>
  <c r="C296"/>
  <c r="A296"/>
  <c r="P295"/>
  <c r="O295"/>
  <c r="L295"/>
  <c r="K295"/>
  <c r="I295"/>
  <c r="D295"/>
  <c r="C295"/>
  <c r="A295"/>
  <c r="P294"/>
  <c r="O294"/>
  <c r="N294"/>
  <c r="L294"/>
  <c r="K294"/>
  <c r="I294"/>
  <c r="D294"/>
  <c r="C294"/>
  <c r="B294"/>
  <c r="A294"/>
  <c r="P293"/>
  <c r="O293"/>
  <c r="L293"/>
  <c r="K293"/>
  <c r="C293"/>
  <c r="A293"/>
  <c r="P292"/>
  <c r="O292"/>
  <c r="N292"/>
  <c r="L292"/>
  <c r="K292"/>
  <c r="I292"/>
  <c r="D292"/>
  <c r="C292"/>
  <c r="B292"/>
  <c r="A292"/>
  <c r="P291"/>
  <c r="O291"/>
  <c r="N291"/>
  <c r="L291"/>
  <c r="K291"/>
  <c r="I291"/>
  <c r="D291"/>
  <c r="C291"/>
  <c r="B291"/>
  <c r="A291"/>
  <c r="P290"/>
  <c r="O290"/>
  <c r="L290"/>
  <c r="K290"/>
  <c r="I290"/>
  <c r="D290"/>
  <c r="C290"/>
  <c r="A290"/>
  <c r="P289"/>
  <c r="O289"/>
  <c r="N289"/>
  <c r="L289"/>
  <c r="K289"/>
  <c r="I289"/>
  <c r="D289"/>
  <c r="C289"/>
  <c r="B289"/>
  <c r="A289"/>
  <c r="P288"/>
  <c r="O288"/>
  <c r="N288"/>
  <c r="L288"/>
  <c r="K288"/>
  <c r="I288"/>
  <c r="D288"/>
  <c r="C288"/>
  <c r="B288"/>
  <c r="A288"/>
  <c r="P287"/>
  <c r="O287"/>
  <c r="N287"/>
  <c r="L287"/>
  <c r="K287"/>
  <c r="D287"/>
  <c r="C287"/>
  <c r="B287"/>
  <c r="A287"/>
  <c r="P286"/>
  <c r="O286"/>
  <c r="N286"/>
  <c r="L286"/>
  <c r="K286"/>
  <c r="I286"/>
  <c r="D286"/>
  <c r="C286"/>
  <c r="B286"/>
  <c r="A286"/>
  <c r="P285"/>
  <c r="O285"/>
  <c r="N285"/>
  <c r="L285"/>
  <c r="K285"/>
  <c r="I285"/>
  <c r="D285"/>
  <c r="C285"/>
  <c r="B285"/>
  <c r="A285"/>
  <c r="P284"/>
  <c r="O284"/>
  <c r="N284"/>
  <c r="L284"/>
  <c r="K284"/>
  <c r="I284"/>
  <c r="D284"/>
  <c r="C284"/>
  <c r="B284"/>
  <c r="A284"/>
  <c r="P283"/>
  <c r="O283"/>
  <c r="N283"/>
  <c r="L283"/>
  <c r="K283"/>
  <c r="I283"/>
  <c r="D283"/>
  <c r="C283"/>
  <c r="B283"/>
  <c r="A283"/>
  <c r="P282"/>
  <c r="O282"/>
  <c r="N282"/>
  <c r="L282"/>
  <c r="K282"/>
  <c r="I282"/>
  <c r="D282"/>
  <c r="C282"/>
  <c r="B282"/>
  <c r="A282"/>
  <c r="P281"/>
  <c r="O281"/>
  <c r="N281"/>
  <c r="L281"/>
  <c r="K281"/>
  <c r="I281"/>
  <c r="D281"/>
  <c r="C281"/>
  <c r="B281"/>
  <c r="A281"/>
  <c r="P280"/>
  <c r="O280"/>
  <c r="N280"/>
  <c r="L280"/>
  <c r="K280"/>
  <c r="I280"/>
  <c r="D280"/>
  <c r="C280"/>
  <c r="B280"/>
  <c r="A280"/>
  <c r="P279"/>
  <c r="O279"/>
  <c r="N279"/>
  <c r="L279"/>
  <c r="K279"/>
  <c r="I279"/>
  <c r="D279"/>
  <c r="C279"/>
  <c r="B279"/>
  <c r="A279"/>
  <c r="P278"/>
  <c r="O278"/>
  <c r="N278"/>
  <c r="L278"/>
  <c r="K278"/>
  <c r="I278"/>
  <c r="D278"/>
  <c r="C278"/>
  <c r="B278"/>
  <c r="A278"/>
  <c r="P277"/>
  <c r="O277"/>
  <c r="N277"/>
  <c r="L277"/>
  <c r="K277"/>
  <c r="I277"/>
  <c r="D277"/>
  <c r="C277"/>
  <c r="B277"/>
  <c r="A277"/>
  <c r="P276"/>
  <c r="O276"/>
  <c r="N276"/>
  <c r="L276"/>
  <c r="K276"/>
  <c r="I276"/>
  <c r="D276"/>
  <c r="C276"/>
  <c r="B276"/>
  <c r="A276"/>
  <c r="P275"/>
  <c r="O275"/>
  <c r="N275"/>
  <c r="L275"/>
  <c r="K275"/>
  <c r="I275"/>
  <c r="D275"/>
  <c r="C275"/>
  <c r="B275"/>
  <c r="A275"/>
  <c r="P274"/>
  <c r="O274"/>
  <c r="L274"/>
  <c r="K274"/>
  <c r="I274"/>
  <c r="D274"/>
  <c r="C274"/>
  <c r="A274"/>
  <c r="P273"/>
  <c r="O273"/>
  <c r="L273"/>
  <c r="K273"/>
  <c r="I273"/>
  <c r="D273"/>
  <c r="C273"/>
  <c r="A273"/>
  <c r="P272"/>
  <c r="O272"/>
  <c r="L272"/>
  <c r="K272"/>
  <c r="I272"/>
  <c r="D272"/>
  <c r="C272"/>
  <c r="A272"/>
  <c r="P271"/>
  <c r="O271"/>
  <c r="N271"/>
  <c r="L271"/>
  <c r="K271"/>
  <c r="I271"/>
  <c r="D271"/>
  <c r="C271"/>
  <c r="B271"/>
  <c r="A271"/>
  <c r="P270"/>
  <c r="O270"/>
  <c r="L270"/>
  <c r="K270"/>
  <c r="I270"/>
  <c r="D270"/>
  <c r="C270"/>
  <c r="A270"/>
  <c r="P269"/>
  <c r="O269"/>
  <c r="N269"/>
  <c r="L269"/>
  <c r="K269"/>
  <c r="I269"/>
  <c r="D269"/>
  <c r="C269"/>
  <c r="B269"/>
  <c r="A269"/>
  <c r="P268"/>
  <c r="O268"/>
  <c r="L268"/>
  <c r="K268"/>
  <c r="I268"/>
  <c r="D268"/>
  <c r="C268"/>
  <c r="B268"/>
  <c r="A268"/>
  <c r="P267"/>
  <c r="O267"/>
  <c r="L267"/>
  <c r="K267"/>
  <c r="I267"/>
  <c r="D267"/>
  <c r="C267"/>
  <c r="A267"/>
  <c r="P266"/>
  <c r="O266"/>
  <c r="L266"/>
  <c r="K266"/>
  <c r="I266"/>
  <c r="D266"/>
  <c r="C266"/>
  <c r="A266"/>
  <c r="P265"/>
  <c r="O265"/>
  <c r="L265"/>
  <c r="K265"/>
  <c r="I265"/>
  <c r="D265"/>
  <c r="C265"/>
  <c r="A265"/>
  <c r="P264"/>
  <c r="O264"/>
  <c r="L264"/>
  <c r="K264"/>
  <c r="I264"/>
  <c r="D264"/>
  <c r="C264"/>
  <c r="A264"/>
  <c r="P263"/>
  <c r="O263"/>
  <c r="L263"/>
  <c r="K263"/>
  <c r="I263"/>
  <c r="D263"/>
  <c r="C263"/>
  <c r="A263"/>
  <c r="P262"/>
  <c r="O262"/>
  <c r="L262"/>
  <c r="K262"/>
  <c r="I262"/>
  <c r="D262"/>
  <c r="C262"/>
  <c r="A262"/>
  <c r="P261"/>
  <c r="O261"/>
  <c r="L261"/>
  <c r="K261"/>
  <c r="I261"/>
  <c r="D261"/>
  <c r="C261"/>
  <c r="B261"/>
  <c r="A261"/>
  <c r="P260"/>
  <c r="O260"/>
  <c r="L260"/>
  <c r="K260"/>
  <c r="I260"/>
  <c r="D260"/>
  <c r="C260"/>
  <c r="A260"/>
  <c r="P259"/>
  <c r="O259"/>
  <c r="L259"/>
  <c r="K259"/>
  <c r="I259"/>
  <c r="D259"/>
  <c r="C259"/>
  <c r="B259"/>
  <c r="A259"/>
  <c r="P258"/>
  <c r="O258"/>
  <c r="L258"/>
  <c r="K258"/>
  <c r="D258"/>
  <c r="C258"/>
  <c r="A258"/>
  <c r="P257"/>
  <c r="O257"/>
  <c r="N257"/>
  <c r="L257"/>
  <c r="K257"/>
  <c r="I257"/>
  <c r="D257"/>
  <c r="C257"/>
  <c r="B257"/>
  <c r="A257"/>
  <c r="P256"/>
  <c r="O256"/>
  <c r="L256"/>
  <c r="K256"/>
  <c r="I256"/>
  <c r="D256"/>
  <c r="C256"/>
  <c r="A256"/>
  <c r="P255"/>
  <c r="O255"/>
  <c r="N255"/>
  <c r="L255"/>
  <c r="K255"/>
  <c r="I255"/>
  <c r="D255"/>
  <c r="C255"/>
  <c r="B255"/>
  <c r="A255"/>
  <c r="P254"/>
  <c r="O254"/>
  <c r="L254"/>
  <c r="K254"/>
  <c r="I254"/>
  <c r="D254"/>
  <c r="C254"/>
  <c r="A254"/>
  <c r="P253"/>
  <c r="O253"/>
  <c r="L253"/>
  <c r="K253"/>
  <c r="D253"/>
  <c r="C253"/>
  <c r="B253"/>
  <c r="A253"/>
  <c r="P252"/>
  <c r="O252"/>
  <c r="L252"/>
  <c r="K252"/>
  <c r="I252"/>
  <c r="D252"/>
  <c r="C252"/>
  <c r="A252"/>
  <c r="P251"/>
  <c r="O251"/>
  <c r="L251"/>
  <c r="K251"/>
  <c r="I251"/>
  <c r="D251"/>
  <c r="C251"/>
  <c r="A251"/>
  <c r="P250"/>
  <c r="O250"/>
  <c r="N250"/>
  <c r="L250"/>
  <c r="K250"/>
  <c r="I250"/>
  <c r="D250"/>
  <c r="C250"/>
  <c r="B250"/>
  <c r="A250"/>
  <c r="P249"/>
  <c r="O249"/>
  <c r="L249"/>
  <c r="K249"/>
  <c r="I249"/>
  <c r="D249"/>
  <c r="C249"/>
  <c r="A249"/>
  <c r="P248"/>
  <c r="O248"/>
  <c r="N248"/>
  <c r="L248"/>
  <c r="K248"/>
  <c r="I248"/>
  <c r="D248"/>
  <c r="C248"/>
  <c r="B248"/>
  <c r="A248"/>
  <c r="P247"/>
  <c r="O247"/>
  <c r="L247"/>
  <c r="K247"/>
  <c r="I247"/>
  <c r="D247"/>
  <c r="C247"/>
  <c r="A247"/>
  <c r="P246"/>
  <c r="O246"/>
  <c r="N246"/>
  <c r="L246"/>
  <c r="K246"/>
  <c r="I246"/>
  <c r="D246"/>
  <c r="C246"/>
  <c r="B246"/>
  <c r="A246"/>
  <c r="P245"/>
  <c r="O245"/>
  <c r="L245"/>
  <c r="K245"/>
  <c r="I245"/>
  <c r="D245"/>
  <c r="C245"/>
  <c r="A245"/>
  <c r="P244"/>
  <c r="O244"/>
  <c r="N244"/>
  <c r="L244"/>
  <c r="K244"/>
  <c r="I244"/>
  <c r="D244"/>
  <c r="C244"/>
  <c r="B244"/>
  <c r="A244"/>
  <c r="P243"/>
  <c r="O243"/>
  <c r="L243"/>
  <c r="K243"/>
  <c r="I243"/>
  <c r="D243"/>
  <c r="C243"/>
  <c r="A243"/>
  <c r="P242"/>
  <c r="O242"/>
  <c r="N242"/>
  <c r="L242"/>
  <c r="K242"/>
  <c r="I242"/>
  <c r="D242"/>
  <c r="C242"/>
  <c r="B242"/>
  <c r="A242"/>
  <c r="P241"/>
  <c r="O241"/>
  <c r="L241"/>
  <c r="K241"/>
  <c r="I241"/>
  <c r="D241"/>
  <c r="C241"/>
  <c r="A241"/>
  <c r="P240"/>
  <c r="O240"/>
  <c r="L240"/>
  <c r="K240"/>
  <c r="I240"/>
  <c r="D240"/>
  <c r="C240"/>
  <c r="B240"/>
  <c r="A240"/>
  <c r="P239"/>
  <c r="O239"/>
  <c r="N239"/>
  <c r="L239"/>
  <c r="K239"/>
  <c r="I239"/>
  <c r="D239"/>
  <c r="C239"/>
  <c r="B239"/>
  <c r="A239"/>
  <c r="P238"/>
  <c r="O238"/>
  <c r="L238"/>
  <c r="K238"/>
  <c r="D238"/>
  <c r="C238"/>
  <c r="A238"/>
  <c r="P237"/>
  <c r="O237"/>
  <c r="L237"/>
  <c r="K237"/>
  <c r="I237"/>
  <c r="D237"/>
  <c r="C237"/>
  <c r="A237"/>
  <c r="P236"/>
  <c r="O236"/>
  <c r="L236"/>
  <c r="K236"/>
  <c r="I236"/>
  <c r="D236"/>
  <c r="C236"/>
  <c r="B236"/>
  <c r="A236"/>
  <c r="P235"/>
  <c r="O235"/>
  <c r="N235"/>
  <c r="L235"/>
  <c r="K235"/>
  <c r="I235"/>
  <c r="D235"/>
  <c r="C235"/>
  <c r="B235"/>
  <c r="A235"/>
  <c r="P234"/>
  <c r="O234"/>
  <c r="N234"/>
  <c r="L234"/>
  <c r="K234"/>
  <c r="I234"/>
  <c r="D234"/>
  <c r="C234"/>
  <c r="B234"/>
  <c r="A234"/>
  <c r="P233"/>
  <c r="O233"/>
  <c r="N233"/>
  <c r="L233"/>
  <c r="K233"/>
  <c r="I233"/>
  <c r="D233"/>
  <c r="C233"/>
  <c r="B233"/>
  <c r="A233"/>
  <c r="P232"/>
  <c r="O232"/>
  <c r="L232"/>
  <c r="K232"/>
  <c r="I232"/>
  <c r="D232"/>
  <c r="C232"/>
  <c r="A232"/>
  <c r="P231"/>
  <c r="O231"/>
  <c r="L231"/>
  <c r="K231"/>
  <c r="I231"/>
  <c r="D231"/>
  <c r="C231"/>
  <c r="B231"/>
  <c r="A231"/>
  <c r="P230"/>
  <c r="O230"/>
  <c r="L230"/>
  <c r="K230"/>
  <c r="I230"/>
  <c r="D230"/>
  <c r="C230"/>
  <c r="B230"/>
  <c r="A230"/>
  <c r="P229"/>
  <c r="O229"/>
  <c r="L229"/>
  <c r="K229"/>
  <c r="D229"/>
  <c r="C229"/>
  <c r="B229"/>
  <c r="A229"/>
  <c r="P228"/>
  <c r="O228"/>
  <c r="L228"/>
  <c r="K228"/>
  <c r="D228"/>
  <c r="C228"/>
  <c r="B228"/>
  <c r="A228"/>
  <c r="P227"/>
  <c r="O227"/>
  <c r="L227"/>
  <c r="K227"/>
  <c r="D227"/>
  <c r="C227"/>
  <c r="B227"/>
  <c r="A227"/>
  <c r="P226"/>
  <c r="O226"/>
  <c r="L226"/>
  <c r="K226"/>
  <c r="D226"/>
  <c r="C226"/>
  <c r="B226"/>
  <c r="A226"/>
  <c r="P225"/>
  <c r="O225"/>
  <c r="L225"/>
  <c r="K225"/>
  <c r="I225"/>
  <c r="D225"/>
  <c r="C225"/>
  <c r="B225"/>
  <c r="A225"/>
  <c r="P224"/>
  <c r="O224"/>
  <c r="N224"/>
  <c r="L224"/>
  <c r="K224"/>
  <c r="I224"/>
  <c r="D224"/>
  <c r="C224"/>
  <c r="B224"/>
  <c r="A224"/>
  <c r="P223"/>
  <c r="O223"/>
  <c r="N223"/>
  <c r="L223"/>
  <c r="K223"/>
  <c r="I223"/>
  <c r="D223"/>
  <c r="C223"/>
  <c r="B223"/>
  <c r="A223"/>
  <c r="P222"/>
  <c r="O222"/>
  <c r="N222"/>
  <c r="L222"/>
  <c r="K222"/>
  <c r="I222"/>
  <c r="D222"/>
  <c r="C222"/>
  <c r="B222"/>
  <c r="A222"/>
  <c r="P221"/>
  <c r="O221"/>
  <c r="N221"/>
  <c r="L221"/>
  <c r="K221"/>
  <c r="I221"/>
  <c r="D221"/>
  <c r="C221"/>
  <c r="B221"/>
  <c r="A221"/>
  <c r="P220"/>
  <c r="O220"/>
  <c r="L220"/>
  <c r="K220"/>
  <c r="I220"/>
  <c r="D220"/>
  <c r="C220"/>
  <c r="A220"/>
  <c r="P219"/>
  <c r="O219"/>
  <c r="L219"/>
  <c r="K219"/>
  <c r="I219"/>
  <c r="D219"/>
  <c r="C219"/>
  <c r="A219"/>
  <c r="P218"/>
  <c r="O218"/>
  <c r="L218"/>
  <c r="K218"/>
  <c r="I218"/>
  <c r="C218"/>
  <c r="B218"/>
  <c r="A218"/>
  <c r="P217"/>
  <c r="O217"/>
  <c r="L217"/>
  <c r="K217"/>
  <c r="I217"/>
  <c r="C217"/>
  <c r="A217"/>
  <c r="P216"/>
  <c r="O216"/>
  <c r="N216"/>
  <c r="L216"/>
  <c r="K216"/>
  <c r="I216"/>
  <c r="D216"/>
  <c r="C216"/>
  <c r="B216"/>
  <c r="A216"/>
  <c r="P215"/>
  <c r="O215"/>
  <c r="N215"/>
  <c r="L215"/>
  <c r="K215"/>
  <c r="I215"/>
  <c r="D215"/>
  <c r="C215"/>
  <c r="B215"/>
  <c r="A215"/>
  <c r="P214"/>
  <c r="O214"/>
  <c r="N214"/>
  <c r="L214"/>
  <c r="K214"/>
  <c r="I214"/>
  <c r="D214"/>
  <c r="C214"/>
  <c r="B214"/>
  <c r="A214"/>
  <c r="P213"/>
  <c r="O213"/>
  <c r="N213"/>
  <c r="L213"/>
  <c r="K213"/>
  <c r="I213"/>
  <c r="D213"/>
  <c r="C213"/>
  <c r="B213"/>
  <c r="A213"/>
  <c r="P212"/>
  <c r="O212"/>
  <c r="N212"/>
  <c r="L212"/>
  <c r="K212"/>
  <c r="I212"/>
  <c r="D212"/>
  <c r="C212"/>
  <c r="B212"/>
  <c r="A212"/>
  <c r="P211"/>
  <c r="O211"/>
  <c r="N211"/>
  <c r="L211"/>
  <c r="K211"/>
  <c r="I211"/>
  <c r="D211"/>
  <c r="C211"/>
  <c r="B211"/>
  <c r="A211"/>
  <c r="P210"/>
  <c r="O210"/>
  <c r="N210"/>
  <c r="L210"/>
  <c r="K210"/>
  <c r="I210"/>
  <c r="D210"/>
  <c r="C210"/>
  <c r="B210"/>
  <c r="A210"/>
  <c r="P209"/>
  <c r="O209"/>
  <c r="N209"/>
  <c r="L209"/>
  <c r="K209"/>
  <c r="I209"/>
  <c r="D209"/>
  <c r="C209"/>
  <c r="B209"/>
  <c r="A209"/>
  <c r="P208"/>
  <c r="O208"/>
  <c r="N208"/>
  <c r="L208"/>
  <c r="K208"/>
  <c r="I208"/>
  <c r="D208"/>
  <c r="C208"/>
  <c r="B208"/>
  <c r="A208"/>
  <c r="P207"/>
  <c r="O207"/>
  <c r="L207"/>
  <c r="K207"/>
  <c r="I207"/>
  <c r="D207"/>
  <c r="C207"/>
  <c r="A207"/>
  <c r="P206"/>
  <c r="O206"/>
  <c r="L206"/>
  <c r="K206"/>
  <c r="I206"/>
  <c r="D206"/>
  <c r="C206"/>
  <c r="A206"/>
  <c r="P205"/>
  <c r="O205"/>
  <c r="N205"/>
  <c r="L205"/>
  <c r="K205"/>
  <c r="I205"/>
  <c r="D205"/>
  <c r="C205"/>
  <c r="B205"/>
  <c r="A205"/>
  <c r="P204"/>
  <c r="O204"/>
  <c r="N204"/>
  <c r="L204"/>
  <c r="K204"/>
  <c r="I204"/>
  <c r="D204"/>
  <c r="C204"/>
  <c r="B204"/>
  <c r="A204"/>
  <c r="P203"/>
  <c r="O203"/>
  <c r="N203"/>
  <c r="L203"/>
  <c r="K203"/>
  <c r="I203"/>
  <c r="D203"/>
  <c r="C203"/>
  <c r="B203"/>
  <c r="A203"/>
  <c r="P202"/>
  <c r="O202"/>
  <c r="N202"/>
  <c r="L202"/>
  <c r="K202"/>
  <c r="I202"/>
  <c r="D202"/>
  <c r="C202"/>
  <c r="B202"/>
  <c r="A202"/>
  <c r="P201"/>
  <c r="O201"/>
  <c r="N201"/>
  <c r="L201"/>
  <c r="K201"/>
  <c r="I201"/>
  <c r="D201"/>
  <c r="C201"/>
  <c r="B201"/>
  <c r="A201"/>
  <c r="P200"/>
  <c r="O200"/>
  <c r="N200"/>
  <c r="L200"/>
  <c r="K200"/>
  <c r="I200"/>
  <c r="D200"/>
  <c r="C200"/>
  <c r="B200"/>
  <c r="A200"/>
  <c r="P199"/>
  <c r="O199"/>
  <c r="N199"/>
  <c r="L199"/>
  <c r="K199"/>
  <c r="I199"/>
  <c r="D199"/>
  <c r="C199"/>
  <c r="B199"/>
  <c r="A199"/>
  <c r="P198"/>
  <c r="O198"/>
  <c r="N198"/>
  <c r="L198"/>
  <c r="K198"/>
  <c r="I198"/>
  <c r="D198"/>
  <c r="C198"/>
  <c r="B198"/>
  <c r="A198"/>
  <c r="P197"/>
  <c r="O197"/>
  <c r="N197"/>
  <c r="L197"/>
  <c r="K197"/>
  <c r="I197"/>
  <c r="D197"/>
  <c r="C197"/>
  <c r="B197"/>
  <c r="A197"/>
  <c r="P196"/>
  <c r="O196"/>
  <c r="N196"/>
  <c r="L196"/>
  <c r="K196"/>
  <c r="I196"/>
  <c r="D196"/>
  <c r="C196"/>
  <c r="B196"/>
  <c r="A196"/>
  <c r="P195"/>
  <c r="O195"/>
  <c r="N195"/>
  <c r="L195"/>
  <c r="K195"/>
  <c r="I195"/>
  <c r="D195"/>
  <c r="C195"/>
  <c r="B195"/>
  <c r="A195"/>
  <c r="P194"/>
  <c r="O194"/>
  <c r="N194"/>
  <c r="L194"/>
  <c r="K194"/>
  <c r="I194"/>
  <c r="D194"/>
  <c r="C194"/>
  <c r="B194"/>
  <c r="A194"/>
  <c r="P193"/>
  <c r="O193"/>
  <c r="N193"/>
  <c r="L193"/>
  <c r="K193"/>
  <c r="I193"/>
  <c r="D193"/>
  <c r="C193"/>
  <c r="B193"/>
  <c r="A193"/>
  <c r="P192"/>
  <c r="O192"/>
  <c r="N192"/>
  <c r="L192"/>
  <c r="K192"/>
  <c r="I192"/>
  <c r="D192"/>
  <c r="C192"/>
  <c r="B192"/>
  <c r="A192"/>
  <c r="P191"/>
  <c r="O191"/>
  <c r="N191"/>
  <c r="L191"/>
  <c r="K191"/>
  <c r="I191"/>
  <c r="D191"/>
  <c r="C191"/>
  <c r="B191"/>
  <c r="A191"/>
  <c r="P190"/>
  <c r="O190"/>
  <c r="L190"/>
  <c r="K190"/>
  <c r="I190"/>
  <c r="D190"/>
  <c r="C190"/>
  <c r="B190"/>
  <c r="A190"/>
  <c r="P189"/>
  <c r="O189"/>
  <c r="L189"/>
  <c r="K189"/>
  <c r="I189"/>
  <c r="D189"/>
  <c r="C189"/>
  <c r="B189"/>
  <c r="A189"/>
  <c r="P188"/>
  <c r="O188"/>
  <c r="L188"/>
  <c r="K188"/>
  <c r="I188"/>
  <c r="D188"/>
  <c r="C188"/>
  <c r="B188"/>
  <c r="A188"/>
  <c r="P187"/>
  <c r="O187"/>
  <c r="N187"/>
  <c r="L187"/>
  <c r="K187"/>
  <c r="I187"/>
  <c r="D187"/>
  <c r="C187"/>
  <c r="B187"/>
  <c r="A187"/>
  <c r="P186"/>
  <c r="O186"/>
  <c r="N186"/>
  <c r="L186"/>
  <c r="K186"/>
  <c r="I186"/>
  <c r="D186"/>
  <c r="C186"/>
  <c r="B186"/>
  <c r="A186"/>
  <c r="P185"/>
  <c r="O185"/>
  <c r="L185"/>
  <c r="K185"/>
  <c r="I185"/>
  <c r="D185"/>
  <c r="C185"/>
  <c r="B185"/>
  <c r="A185"/>
  <c r="P184"/>
  <c r="O184"/>
  <c r="L184"/>
  <c r="K184"/>
  <c r="D184"/>
  <c r="C184"/>
  <c r="B184"/>
  <c r="A184"/>
  <c r="P183"/>
  <c r="O183"/>
  <c r="L183"/>
  <c r="K183"/>
  <c r="I183"/>
  <c r="D183"/>
  <c r="C183"/>
  <c r="A183"/>
  <c r="P182"/>
  <c r="O182"/>
  <c r="N182"/>
  <c r="L182"/>
  <c r="K182"/>
  <c r="I182"/>
  <c r="D182"/>
  <c r="C182"/>
  <c r="B182"/>
  <c r="A182"/>
  <c r="P181"/>
  <c r="O181"/>
  <c r="L181"/>
  <c r="K181"/>
  <c r="I181"/>
  <c r="D181"/>
  <c r="C181"/>
  <c r="A181"/>
  <c r="P180"/>
  <c r="O180"/>
  <c r="L180"/>
  <c r="K180"/>
  <c r="I180"/>
  <c r="D180"/>
  <c r="C180"/>
  <c r="B180"/>
  <c r="A180"/>
  <c r="P179"/>
  <c r="O179"/>
  <c r="L179"/>
  <c r="K179"/>
  <c r="I179"/>
  <c r="D179"/>
  <c r="C179"/>
  <c r="A179"/>
  <c r="P178"/>
  <c r="O178"/>
  <c r="L178"/>
  <c r="K178"/>
  <c r="I178"/>
  <c r="D178"/>
  <c r="C178"/>
  <c r="A178"/>
  <c r="P177"/>
  <c r="O177"/>
  <c r="N177"/>
  <c r="L177"/>
  <c r="K177"/>
  <c r="I177"/>
  <c r="C177"/>
  <c r="B177"/>
  <c r="A177"/>
  <c r="P176"/>
  <c r="O176"/>
  <c r="N176"/>
  <c r="L176"/>
  <c r="K176"/>
  <c r="I176"/>
  <c r="D176"/>
  <c r="C176"/>
  <c r="B176"/>
  <c r="A176"/>
  <c r="P175"/>
  <c r="O175"/>
  <c r="N175"/>
  <c r="L175"/>
  <c r="K175"/>
  <c r="I175"/>
  <c r="D175"/>
  <c r="C175"/>
  <c r="B175"/>
  <c r="A175"/>
  <c r="P174"/>
  <c r="O174"/>
  <c r="N174"/>
  <c r="L174"/>
  <c r="K174"/>
  <c r="I174"/>
  <c r="D174"/>
  <c r="C174"/>
  <c r="B174"/>
  <c r="A174"/>
  <c r="P173"/>
  <c r="O173"/>
  <c r="L173"/>
  <c r="K173"/>
  <c r="I173"/>
  <c r="D173"/>
  <c r="C173"/>
  <c r="A173"/>
  <c r="P172"/>
  <c r="O172"/>
  <c r="N172"/>
  <c r="L172"/>
  <c r="K172"/>
  <c r="I172"/>
  <c r="D172"/>
  <c r="C172"/>
  <c r="B172"/>
  <c r="A172"/>
  <c r="P171"/>
  <c r="O171"/>
  <c r="N171"/>
  <c r="L171"/>
  <c r="K171"/>
  <c r="I171"/>
  <c r="D171"/>
  <c r="C171"/>
  <c r="B171"/>
  <c r="A171"/>
  <c r="P170"/>
  <c r="O170"/>
  <c r="N170"/>
  <c r="L170"/>
  <c r="K170"/>
  <c r="I170"/>
  <c r="D170"/>
  <c r="C170"/>
  <c r="B170"/>
  <c r="A170"/>
  <c r="P169"/>
  <c r="O169"/>
  <c r="N169"/>
  <c r="L169"/>
  <c r="K169"/>
  <c r="I169"/>
  <c r="D169"/>
  <c r="C169"/>
  <c r="B169"/>
  <c r="A169"/>
  <c r="P168"/>
  <c r="O168"/>
  <c r="L168"/>
  <c r="K168"/>
  <c r="I168"/>
  <c r="D168"/>
  <c r="C168"/>
  <c r="A168"/>
  <c r="P167"/>
  <c r="O167"/>
  <c r="L167"/>
  <c r="K167"/>
  <c r="I167"/>
  <c r="D167"/>
  <c r="C167"/>
  <c r="A167"/>
  <c r="P166"/>
  <c r="O166"/>
  <c r="L166"/>
  <c r="K166"/>
  <c r="I166"/>
  <c r="D166"/>
  <c r="C166"/>
  <c r="A166"/>
  <c r="P165"/>
  <c r="O165"/>
  <c r="L165"/>
  <c r="K165"/>
  <c r="I165"/>
  <c r="D165"/>
  <c r="C165"/>
  <c r="A165"/>
  <c r="P164"/>
  <c r="O164"/>
  <c r="L164"/>
  <c r="K164"/>
  <c r="I164"/>
  <c r="D164"/>
  <c r="C164"/>
  <c r="P163"/>
  <c r="O163"/>
  <c r="N163"/>
  <c r="L163"/>
  <c r="K163"/>
  <c r="I163"/>
  <c r="D163"/>
  <c r="C163"/>
  <c r="B163"/>
  <c r="A163"/>
  <c r="P162"/>
  <c r="O162"/>
  <c r="N162"/>
  <c r="L162"/>
  <c r="K162"/>
  <c r="I162"/>
  <c r="D162"/>
  <c r="C162"/>
  <c r="B162"/>
  <c r="A162"/>
  <c r="P161"/>
  <c r="O161"/>
  <c r="N161"/>
  <c r="L161"/>
  <c r="K161"/>
  <c r="I161"/>
  <c r="D161"/>
  <c r="C161"/>
  <c r="B161"/>
  <c r="A161"/>
  <c r="P160"/>
  <c r="O160"/>
  <c r="N160"/>
  <c r="L160"/>
  <c r="K160"/>
  <c r="I160"/>
  <c r="D160"/>
  <c r="C160"/>
  <c r="B160"/>
  <c r="A160"/>
  <c r="P159"/>
  <c r="O159"/>
  <c r="L159"/>
  <c r="K159"/>
  <c r="I159"/>
  <c r="D159"/>
  <c r="C159"/>
  <c r="A159"/>
  <c r="P158"/>
  <c r="O158"/>
  <c r="L158"/>
  <c r="K158"/>
  <c r="I158"/>
  <c r="D158"/>
  <c r="C158"/>
  <c r="A158"/>
  <c r="P157"/>
  <c r="O157"/>
  <c r="L157"/>
  <c r="K157"/>
  <c r="I157"/>
  <c r="D157"/>
  <c r="C157"/>
  <c r="A157"/>
  <c r="P156"/>
  <c r="O156"/>
  <c r="L156"/>
  <c r="K156"/>
  <c r="I156"/>
  <c r="D156"/>
  <c r="C156"/>
  <c r="A156"/>
  <c r="P155"/>
  <c r="O155"/>
  <c r="L155"/>
  <c r="K155"/>
  <c r="I155"/>
  <c r="D155"/>
  <c r="C155"/>
  <c r="A155"/>
  <c r="P154"/>
  <c r="O154"/>
  <c r="L154"/>
  <c r="K154"/>
  <c r="I154"/>
  <c r="D154"/>
  <c r="C154"/>
  <c r="A154"/>
  <c r="P153"/>
  <c r="O153"/>
  <c r="L153"/>
  <c r="K153"/>
  <c r="I153"/>
  <c r="D153"/>
  <c r="C153"/>
  <c r="A153"/>
  <c r="P152"/>
  <c r="O152"/>
  <c r="L152"/>
  <c r="K152"/>
  <c r="I152"/>
  <c r="D152"/>
  <c r="C152"/>
  <c r="A152"/>
  <c r="P151"/>
  <c r="O151"/>
  <c r="L151"/>
  <c r="K151"/>
  <c r="I151"/>
  <c r="D151"/>
  <c r="C151"/>
  <c r="A151"/>
  <c r="P150"/>
  <c r="O150"/>
  <c r="L150"/>
  <c r="K150"/>
  <c r="I150"/>
  <c r="D150"/>
  <c r="C150"/>
  <c r="A150"/>
  <c r="P149"/>
  <c r="O149"/>
  <c r="L149"/>
  <c r="K149"/>
  <c r="I149"/>
  <c r="D149"/>
  <c r="C149"/>
  <c r="A149"/>
  <c r="P148"/>
  <c r="O148"/>
  <c r="L148"/>
  <c r="K148"/>
  <c r="I148"/>
  <c r="D148"/>
  <c r="C148"/>
  <c r="A148"/>
  <c r="P147"/>
  <c r="O147"/>
  <c r="N147"/>
  <c r="L147"/>
  <c r="K147"/>
  <c r="I147"/>
  <c r="D147"/>
  <c r="C147"/>
  <c r="B147"/>
  <c r="A147"/>
  <c r="P146"/>
  <c r="O146"/>
  <c r="L146"/>
  <c r="K146"/>
  <c r="I146"/>
  <c r="D146"/>
  <c r="C146"/>
  <c r="A146"/>
  <c r="P145"/>
  <c r="O145"/>
  <c r="N145"/>
  <c r="L145"/>
  <c r="K145"/>
  <c r="I145"/>
  <c r="D145"/>
  <c r="C145"/>
  <c r="B145"/>
  <c r="A145"/>
  <c r="P144"/>
  <c r="O144"/>
  <c r="N144"/>
  <c r="L144"/>
  <c r="K144"/>
  <c r="I144"/>
  <c r="D144"/>
  <c r="C144"/>
  <c r="B144"/>
  <c r="A144"/>
  <c r="P143"/>
  <c r="O143"/>
  <c r="N143"/>
  <c r="L143"/>
  <c r="K143"/>
  <c r="I143"/>
  <c r="D143"/>
  <c r="C143"/>
  <c r="B143"/>
  <c r="A143"/>
  <c r="P142"/>
  <c r="O142"/>
  <c r="L142"/>
  <c r="K142"/>
  <c r="I142"/>
  <c r="D142"/>
  <c r="C142"/>
  <c r="B142"/>
  <c r="A142"/>
  <c r="P141"/>
  <c r="O141"/>
  <c r="L141"/>
  <c r="K141"/>
  <c r="I141"/>
  <c r="D141"/>
  <c r="C141"/>
  <c r="A141"/>
  <c r="P140"/>
  <c r="O140"/>
  <c r="L140"/>
  <c r="K140"/>
  <c r="I140"/>
  <c r="D140"/>
  <c r="C140"/>
  <c r="A140"/>
  <c r="P139"/>
  <c r="O139"/>
  <c r="N139"/>
  <c r="L139"/>
  <c r="K139"/>
  <c r="I139"/>
  <c r="D139"/>
  <c r="C139"/>
  <c r="B139"/>
  <c r="A139"/>
  <c r="P138"/>
  <c r="O138"/>
  <c r="N138"/>
  <c r="L138"/>
  <c r="K138"/>
  <c r="I138"/>
  <c r="D138"/>
  <c r="C138"/>
  <c r="B138"/>
  <c r="A138"/>
  <c r="P137"/>
  <c r="O137"/>
  <c r="N137"/>
  <c r="L137"/>
  <c r="K137"/>
  <c r="I137"/>
  <c r="D137"/>
  <c r="C137"/>
  <c r="B137"/>
  <c r="A137"/>
  <c r="P136"/>
  <c r="O136"/>
  <c r="L136"/>
  <c r="K136"/>
  <c r="I136"/>
  <c r="D136"/>
  <c r="C136"/>
  <c r="A136"/>
  <c r="P135"/>
  <c r="O135"/>
  <c r="L135"/>
  <c r="K135"/>
  <c r="I135"/>
  <c r="D135"/>
  <c r="C135"/>
  <c r="B135"/>
  <c r="A135"/>
  <c r="P134"/>
  <c r="O134"/>
  <c r="L134"/>
  <c r="K134"/>
  <c r="I134"/>
  <c r="D134"/>
  <c r="C134"/>
  <c r="B134"/>
  <c r="A134"/>
  <c r="P133"/>
  <c r="O133"/>
  <c r="L133"/>
  <c r="K133"/>
  <c r="I133"/>
  <c r="D133"/>
  <c r="C133"/>
  <c r="B133"/>
  <c r="A133"/>
  <c r="P132"/>
  <c r="O132"/>
  <c r="L132"/>
  <c r="K132"/>
  <c r="I132"/>
  <c r="D132"/>
  <c r="C132"/>
  <c r="A132"/>
  <c r="P131"/>
  <c r="O131"/>
  <c r="L131"/>
  <c r="K131"/>
  <c r="I131"/>
  <c r="D131"/>
  <c r="C131"/>
  <c r="A131"/>
  <c r="P130"/>
  <c r="O130"/>
  <c r="L130"/>
  <c r="K130"/>
  <c r="I130"/>
  <c r="D130"/>
  <c r="C130"/>
  <c r="A130"/>
  <c r="P129"/>
  <c r="O129"/>
  <c r="L129"/>
  <c r="K129"/>
  <c r="I129"/>
  <c r="D129"/>
  <c r="C129"/>
  <c r="A129"/>
  <c r="P128"/>
  <c r="O128"/>
  <c r="L128"/>
  <c r="K128"/>
  <c r="I128"/>
  <c r="D128"/>
  <c r="C128"/>
  <c r="A128"/>
  <c r="P127"/>
  <c r="O127"/>
  <c r="L127"/>
  <c r="K127"/>
  <c r="I127"/>
  <c r="D127"/>
  <c r="C127"/>
  <c r="A127"/>
  <c r="P126"/>
  <c r="O126"/>
  <c r="N126"/>
  <c r="L126"/>
  <c r="K126"/>
  <c r="I126"/>
  <c r="D126"/>
  <c r="C126"/>
  <c r="B126"/>
  <c r="A126"/>
  <c r="P125"/>
  <c r="O125"/>
  <c r="N125"/>
  <c r="L125"/>
  <c r="K125"/>
  <c r="I125"/>
  <c r="D125"/>
  <c r="C125"/>
  <c r="B125"/>
  <c r="A125"/>
  <c r="P124"/>
  <c r="O124"/>
  <c r="N124"/>
  <c r="L124"/>
  <c r="K124"/>
  <c r="I124"/>
  <c r="D124"/>
  <c r="C124"/>
  <c r="B124"/>
  <c r="A124"/>
  <c r="P123"/>
  <c r="O123"/>
  <c r="L123"/>
  <c r="K123"/>
  <c r="I123"/>
  <c r="D123"/>
  <c r="C123"/>
  <c r="A123"/>
  <c r="P122"/>
  <c r="O122"/>
  <c r="N122"/>
  <c r="L122"/>
  <c r="K122"/>
  <c r="I122"/>
  <c r="D122"/>
  <c r="C122"/>
  <c r="B122"/>
  <c r="A122"/>
  <c r="P121"/>
  <c r="O121"/>
  <c r="L121"/>
  <c r="K121"/>
  <c r="I121"/>
  <c r="D121"/>
  <c r="C121"/>
  <c r="A121"/>
  <c r="P120"/>
  <c r="O120"/>
  <c r="N120"/>
  <c r="L120"/>
  <c r="K120"/>
  <c r="I120"/>
  <c r="D120"/>
  <c r="C120"/>
  <c r="B120"/>
  <c r="A120"/>
  <c r="P119"/>
  <c r="O119"/>
  <c r="L119"/>
  <c r="K119"/>
  <c r="I119"/>
  <c r="D119"/>
  <c r="C119"/>
  <c r="A119"/>
  <c r="P118"/>
  <c r="O118"/>
  <c r="N118"/>
  <c r="L118"/>
  <c r="K118"/>
  <c r="I118"/>
  <c r="D118"/>
  <c r="C118"/>
  <c r="B118"/>
  <c r="A118"/>
  <c r="P117"/>
  <c r="O117"/>
  <c r="N117"/>
  <c r="L117"/>
  <c r="K117"/>
  <c r="I117"/>
  <c r="D117"/>
  <c r="C117"/>
  <c r="B117"/>
  <c r="A117"/>
  <c r="P116"/>
  <c r="O116"/>
  <c r="N116"/>
  <c r="L116"/>
  <c r="K116"/>
  <c r="I116"/>
  <c r="D116"/>
  <c r="C116"/>
  <c r="B116"/>
  <c r="A116"/>
  <c r="P115"/>
  <c r="O115"/>
  <c r="L115"/>
  <c r="K115"/>
  <c r="I115"/>
  <c r="D115"/>
  <c r="C115"/>
  <c r="A115"/>
  <c r="P114"/>
  <c r="O114"/>
  <c r="L114"/>
  <c r="K114"/>
  <c r="I114"/>
  <c r="D114"/>
  <c r="C114"/>
  <c r="A114"/>
  <c r="P113"/>
  <c r="O113"/>
  <c r="L113"/>
  <c r="K113"/>
  <c r="I113"/>
  <c r="D113"/>
  <c r="C113"/>
  <c r="A113"/>
  <c r="P112"/>
  <c r="O112"/>
  <c r="L112"/>
  <c r="K112"/>
  <c r="D112"/>
  <c r="C112"/>
  <c r="A112"/>
  <c r="P111"/>
  <c r="O111"/>
  <c r="N111"/>
  <c r="L111"/>
  <c r="K111"/>
  <c r="I111"/>
  <c r="D111"/>
  <c r="C111"/>
  <c r="B111"/>
  <c r="A111"/>
  <c r="P110"/>
  <c r="O110"/>
  <c r="L110"/>
  <c r="K110"/>
  <c r="I110"/>
  <c r="D110"/>
  <c r="C110"/>
  <c r="A110"/>
  <c r="P109"/>
  <c r="O109"/>
  <c r="L109"/>
  <c r="K109"/>
  <c r="I109"/>
  <c r="D109"/>
  <c r="C109"/>
  <c r="A109"/>
  <c r="P108"/>
  <c r="O108"/>
  <c r="L108"/>
  <c r="K108"/>
  <c r="I108"/>
  <c r="D108"/>
  <c r="C108"/>
  <c r="B108"/>
  <c r="A108"/>
  <c r="P107"/>
  <c r="O107"/>
  <c r="L107"/>
  <c r="K107"/>
  <c r="I107"/>
  <c r="D107"/>
  <c r="C107"/>
  <c r="A107"/>
  <c r="P106"/>
  <c r="O106"/>
  <c r="L106"/>
  <c r="K106"/>
  <c r="I106"/>
  <c r="D106"/>
  <c r="C106"/>
  <c r="A106"/>
  <c r="P105"/>
  <c r="O105"/>
  <c r="L105"/>
  <c r="K105"/>
  <c r="I105"/>
  <c r="D105"/>
  <c r="C105"/>
  <c r="A105"/>
  <c r="P104"/>
  <c r="O104"/>
  <c r="N104"/>
  <c r="L104"/>
  <c r="K104"/>
  <c r="I104"/>
  <c r="D104"/>
  <c r="C104"/>
  <c r="B104"/>
  <c r="A104"/>
  <c r="P103"/>
  <c r="O103"/>
  <c r="L103"/>
  <c r="K103"/>
  <c r="I103"/>
  <c r="D103"/>
  <c r="C103"/>
  <c r="A103"/>
  <c r="P102"/>
  <c r="O102"/>
  <c r="N102"/>
  <c r="L102"/>
  <c r="K102"/>
  <c r="I102"/>
  <c r="D102"/>
  <c r="C102"/>
  <c r="B102"/>
  <c r="A102"/>
  <c r="P101"/>
  <c r="O101"/>
  <c r="L101"/>
  <c r="K101"/>
  <c r="I101"/>
  <c r="D101"/>
  <c r="C101"/>
  <c r="A101"/>
  <c r="P100"/>
  <c r="O100"/>
  <c r="N100"/>
  <c r="L100"/>
  <c r="K100"/>
  <c r="I100"/>
  <c r="D100"/>
  <c r="C100"/>
  <c r="B100"/>
  <c r="A100"/>
  <c r="P99"/>
  <c r="O99"/>
  <c r="L99"/>
  <c r="K99"/>
  <c r="I99"/>
  <c r="D99"/>
  <c r="C99"/>
  <c r="A99"/>
  <c r="P98"/>
  <c r="O98"/>
  <c r="N98"/>
  <c r="L98"/>
  <c r="K98"/>
  <c r="I98"/>
  <c r="D98"/>
  <c r="C98"/>
  <c r="B98"/>
  <c r="A98"/>
  <c r="P97"/>
  <c r="O97"/>
  <c r="N97"/>
  <c r="L97"/>
  <c r="K97"/>
  <c r="I97"/>
  <c r="D97"/>
  <c r="C97"/>
  <c r="B97"/>
  <c r="A97"/>
  <c r="P96"/>
  <c r="O96"/>
  <c r="L96"/>
  <c r="K96"/>
  <c r="I96"/>
  <c r="D96"/>
  <c r="C96"/>
  <c r="A96"/>
  <c r="P95"/>
  <c r="O95"/>
  <c r="L95"/>
  <c r="K95"/>
  <c r="I95"/>
  <c r="D95"/>
  <c r="C95"/>
  <c r="A95"/>
  <c r="P94"/>
  <c r="O94"/>
  <c r="N94"/>
  <c r="L94"/>
  <c r="K94"/>
  <c r="I94"/>
  <c r="C94"/>
  <c r="B94"/>
  <c r="A94"/>
  <c r="P93"/>
  <c r="O93"/>
  <c r="N93"/>
  <c r="L93"/>
  <c r="K93"/>
  <c r="I93"/>
  <c r="C93"/>
  <c r="B93"/>
  <c r="A93"/>
  <c r="P92"/>
  <c r="O92"/>
  <c r="L92"/>
  <c r="K92"/>
  <c r="I92"/>
  <c r="D92"/>
  <c r="C92"/>
  <c r="A92"/>
  <c r="P91"/>
  <c r="O91"/>
  <c r="L91"/>
  <c r="K91"/>
  <c r="I91"/>
  <c r="D91"/>
  <c r="C91"/>
  <c r="A91"/>
  <c r="P90"/>
  <c r="O90"/>
  <c r="L90"/>
  <c r="K90"/>
  <c r="I90"/>
  <c r="D90"/>
  <c r="C90"/>
  <c r="A90"/>
  <c r="P89"/>
  <c r="O89"/>
  <c r="L89"/>
  <c r="K89"/>
  <c r="I89"/>
  <c r="D89"/>
  <c r="C89"/>
  <c r="B89"/>
  <c r="A89"/>
  <c r="P88"/>
  <c r="O88"/>
  <c r="L88"/>
  <c r="K88"/>
  <c r="I88"/>
  <c r="D88"/>
  <c r="C88"/>
  <c r="B88"/>
  <c r="A88"/>
  <c r="P87"/>
  <c r="O87"/>
  <c r="L87"/>
  <c r="K87"/>
  <c r="I87"/>
  <c r="D87"/>
  <c r="C87"/>
  <c r="B87"/>
  <c r="A87"/>
  <c r="P86"/>
  <c r="O86"/>
  <c r="L86"/>
  <c r="K86"/>
  <c r="I86"/>
  <c r="D86"/>
  <c r="C86"/>
  <c r="B86"/>
  <c r="A86"/>
  <c r="P85"/>
  <c r="O85"/>
  <c r="N85"/>
  <c r="L85"/>
  <c r="K85"/>
  <c r="I85"/>
  <c r="D85"/>
  <c r="C85"/>
  <c r="B85"/>
  <c r="A85"/>
  <c r="P84"/>
  <c r="O84"/>
  <c r="N84"/>
  <c r="L84"/>
  <c r="K84"/>
  <c r="I84"/>
  <c r="D84"/>
  <c r="C84"/>
  <c r="B84"/>
  <c r="A84"/>
  <c r="P83"/>
  <c r="O83"/>
  <c r="N83"/>
  <c r="L83"/>
  <c r="K83"/>
  <c r="I83"/>
  <c r="D83"/>
  <c r="C83"/>
  <c r="B83"/>
  <c r="A83"/>
  <c r="P82"/>
  <c r="O82"/>
  <c r="N82"/>
  <c r="L82"/>
  <c r="K82"/>
  <c r="I82"/>
  <c r="D82"/>
  <c r="C82"/>
  <c r="B82"/>
  <c r="A82"/>
  <c r="P81"/>
  <c r="O81"/>
  <c r="N81"/>
  <c r="L81"/>
  <c r="K81"/>
  <c r="I81"/>
  <c r="D81"/>
  <c r="C81"/>
  <c r="B81"/>
  <c r="A81"/>
  <c r="P80"/>
  <c r="O80"/>
  <c r="N80"/>
  <c r="L80"/>
  <c r="K80"/>
  <c r="I80"/>
  <c r="D80"/>
  <c r="C80"/>
  <c r="B80"/>
  <c r="A80"/>
  <c r="P79"/>
  <c r="O79"/>
  <c r="N79"/>
  <c r="L79"/>
  <c r="K79"/>
  <c r="I79"/>
  <c r="D79"/>
  <c r="C79"/>
  <c r="B79"/>
  <c r="A79"/>
  <c r="P78"/>
  <c r="O78"/>
  <c r="N78"/>
  <c r="L78"/>
  <c r="K78"/>
  <c r="I78"/>
  <c r="D78"/>
  <c r="C78"/>
  <c r="B78"/>
  <c r="A78"/>
  <c r="P77"/>
  <c r="O77"/>
  <c r="N77"/>
  <c r="L77"/>
  <c r="K77"/>
  <c r="I77"/>
  <c r="D77"/>
  <c r="C77"/>
  <c r="B77"/>
  <c r="A77"/>
  <c r="P76"/>
  <c r="O76"/>
  <c r="L76"/>
  <c r="K76"/>
  <c r="I76"/>
  <c r="D76"/>
  <c r="C76"/>
  <c r="B76"/>
  <c r="A76"/>
  <c r="P75"/>
  <c r="O75"/>
  <c r="N75"/>
  <c r="L75"/>
  <c r="K75"/>
  <c r="I75"/>
  <c r="D75"/>
  <c r="C75"/>
  <c r="B75"/>
  <c r="A75"/>
  <c r="P74"/>
  <c r="O74"/>
  <c r="N74"/>
  <c r="L74"/>
  <c r="K74"/>
  <c r="I74"/>
  <c r="D74"/>
  <c r="C74"/>
  <c r="B74"/>
  <c r="A74"/>
  <c r="P73"/>
  <c r="O73"/>
  <c r="N73"/>
  <c r="L73"/>
  <c r="K73"/>
  <c r="I73"/>
  <c r="D73"/>
  <c r="C73"/>
  <c r="B73"/>
  <c r="A73"/>
  <c r="P72"/>
  <c r="O72"/>
  <c r="N72"/>
  <c r="L72"/>
  <c r="K72"/>
  <c r="I72"/>
  <c r="D72"/>
  <c r="C72"/>
  <c r="B72"/>
  <c r="A72"/>
  <c r="P71"/>
  <c r="O71"/>
  <c r="N71"/>
  <c r="L71"/>
  <c r="K71"/>
  <c r="I71"/>
  <c r="D71"/>
  <c r="C71"/>
  <c r="B71"/>
  <c r="A71"/>
  <c r="P70"/>
  <c r="O70"/>
  <c r="N70"/>
  <c r="L70"/>
  <c r="K70"/>
  <c r="I70"/>
  <c r="D70"/>
  <c r="C70"/>
  <c r="B70"/>
  <c r="A70"/>
  <c r="P69"/>
  <c r="O69"/>
  <c r="N69"/>
  <c r="L69"/>
  <c r="K69"/>
  <c r="I69"/>
  <c r="D69"/>
  <c r="C69"/>
  <c r="B69"/>
  <c r="A69"/>
  <c r="P68"/>
  <c r="O68"/>
  <c r="N68"/>
  <c r="L68"/>
  <c r="K68"/>
  <c r="I68"/>
  <c r="D68"/>
  <c r="C68"/>
  <c r="B68"/>
  <c r="A68"/>
  <c r="P67"/>
  <c r="O67"/>
  <c r="N67"/>
  <c r="L67"/>
  <c r="K67"/>
  <c r="I67"/>
  <c r="D67"/>
  <c r="C67"/>
  <c r="B67"/>
  <c r="A67"/>
  <c r="P66"/>
  <c r="O66"/>
  <c r="L66"/>
  <c r="K66"/>
  <c r="I66"/>
  <c r="D66"/>
  <c r="C66"/>
  <c r="B66"/>
  <c r="A66"/>
  <c r="P65"/>
  <c r="O65"/>
  <c r="L65"/>
  <c r="K65"/>
  <c r="I65"/>
  <c r="D65"/>
  <c r="C65"/>
  <c r="B65"/>
  <c r="A65"/>
  <c r="P64"/>
  <c r="O64"/>
  <c r="L64"/>
  <c r="K64"/>
  <c r="I64"/>
  <c r="D64"/>
  <c r="C64"/>
  <c r="B64"/>
  <c r="A64"/>
  <c r="P63"/>
  <c r="O63"/>
  <c r="L63"/>
  <c r="K63"/>
  <c r="I63"/>
  <c r="D63"/>
  <c r="C63"/>
  <c r="B63"/>
  <c r="A63"/>
  <c r="P62"/>
  <c r="O62"/>
  <c r="L62"/>
  <c r="K62"/>
  <c r="I62"/>
  <c r="D62"/>
  <c r="C62"/>
  <c r="B62"/>
  <c r="A62"/>
  <c r="P61"/>
  <c r="O61"/>
  <c r="L61"/>
  <c r="K61"/>
  <c r="I61"/>
  <c r="D61"/>
  <c r="C61"/>
  <c r="B61"/>
  <c r="A61"/>
  <c r="P60"/>
  <c r="O60"/>
  <c r="L60"/>
  <c r="K60"/>
  <c r="I60"/>
  <c r="D60"/>
  <c r="C60"/>
  <c r="B60"/>
  <c r="A60"/>
  <c r="P59"/>
  <c r="O59"/>
  <c r="L59"/>
  <c r="K59"/>
  <c r="I59"/>
  <c r="D59"/>
  <c r="C59"/>
  <c r="B59"/>
  <c r="A59"/>
  <c r="P58"/>
  <c r="O58"/>
  <c r="L58"/>
  <c r="K58"/>
  <c r="I58"/>
  <c r="D58"/>
  <c r="C58"/>
  <c r="B58"/>
  <c r="A58"/>
  <c r="P57"/>
  <c r="O57"/>
  <c r="L57"/>
  <c r="K57"/>
  <c r="I57"/>
  <c r="D57"/>
  <c r="C57"/>
  <c r="B57"/>
  <c r="A57"/>
  <c r="P56"/>
  <c r="O56"/>
  <c r="L56"/>
  <c r="K56"/>
  <c r="I56"/>
  <c r="D56"/>
  <c r="C56"/>
  <c r="B56"/>
  <c r="A56"/>
  <c r="P55"/>
  <c r="O55"/>
  <c r="N55"/>
  <c r="L55"/>
  <c r="K55"/>
  <c r="I55"/>
  <c r="D55"/>
  <c r="C55"/>
  <c r="B55"/>
  <c r="A55"/>
  <c r="P54"/>
  <c r="O54"/>
  <c r="N54"/>
  <c r="L54"/>
  <c r="K54"/>
  <c r="I54"/>
  <c r="D54"/>
  <c r="C54"/>
  <c r="B54"/>
  <c r="A54"/>
  <c r="P53"/>
  <c r="O53"/>
  <c r="N53"/>
  <c r="L53"/>
  <c r="K53"/>
  <c r="I53"/>
  <c r="D53"/>
  <c r="C53"/>
  <c r="B53"/>
  <c r="A53"/>
  <c r="P52"/>
  <c r="O52"/>
  <c r="N52"/>
  <c r="L52"/>
  <c r="K52"/>
  <c r="I52"/>
  <c r="D52"/>
  <c r="C52"/>
  <c r="B52"/>
  <c r="A52"/>
  <c r="P51"/>
  <c r="O51"/>
  <c r="N51"/>
  <c r="L51"/>
  <c r="K51"/>
  <c r="I51"/>
  <c r="D51"/>
  <c r="C51"/>
  <c r="B51"/>
  <c r="A51"/>
  <c r="P50"/>
  <c r="O50"/>
  <c r="N50"/>
  <c r="L50"/>
  <c r="K50"/>
  <c r="I50"/>
  <c r="D50"/>
  <c r="C50"/>
  <c r="B50"/>
  <c r="A50"/>
  <c r="P49"/>
  <c r="O49"/>
  <c r="N49"/>
  <c r="L49"/>
  <c r="K49"/>
  <c r="I49"/>
  <c r="D49"/>
  <c r="C49"/>
  <c r="B49"/>
  <c r="A49"/>
  <c r="P48"/>
  <c r="O48"/>
  <c r="L48"/>
  <c r="K48"/>
  <c r="D48"/>
  <c r="C48"/>
  <c r="B48"/>
  <c r="A48"/>
  <c r="P47"/>
  <c r="O47"/>
  <c r="L47"/>
  <c r="K47"/>
  <c r="D47"/>
  <c r="C47"/>
  <c r="B47"/>
  <c r="A47"/>
  <c r="P46"/>
  <c r="O46"/>
  <c r="L46"/>
  <c r="K46"/>
  <c r="D46"/>
  <c r="C46"/>
  <c r="B46"/>
  <c r="A46"/>
  <c r="P45"/>
  <c r="O45"/>
  <c r="L45"/>
  <c r="K45"/>
  <c r="I45"/>
  <c r="D45"/>
  <c r="C45"/>
  <c r="B45"/>
  <c r="A45"/>
  <c r="P44"/>
  <c r="O44"/>
  <c r="L44"/>
  <c r="K44"/>
  <c r="I44"/>
  <c r="D44"/>
  <c r="C44"/>
  <c r="B44"/>
  <c r="A44"/>
  <c r="P43"/>
  <c r="O43"/>
  <c r="L43"/>
  <c r="K43"/>
  <c r="I43"/>
  <c r="D43"/>
  <c r="C43"/>
  <c r="B43"/>
  <c r="A43"/>
  <c r="P42"/>
  <c r="O42"/>
  <c r="L42"/>
  <c r="K42"/>
  <c r="I42"/>
  <c r="D42"/>
  <c r="C42"/>
  <c r="B42"/>
  <c r="A42"/>
  <c r="P41"/>
  <c r="O41"/>
  <c r="L41"/>
  <c r="K41"/>
  <c r="I41"/>
  <c r="D41"/>
  <c r="C41"/>
  <c r="B41"/>
  <c r="A41"/>
  <c r="P40"/>
  <c r="O40"/>
  <c r="L40"/>
  <c r="K40"/>
  <c r="D40"/>
  <c r="C40"/>
  <c r="B40"/>
  <c r="A40"/>
  <c r="P39"/>
  <c r="O39"/>
  <c r="L39"/>
  <c r="K39"/>
  <c r="D39"/>
  <c r="C39"/>
  <c r="B39"/>
  <c r="A39"/>
  <c r="P38"/>
  <c r="O38"/>
  <c r="L38"/>
  <c r="K38"/>
  <c r="D38"/>
  <c r="C38"/>
  <c r="B38"/>
  <c r="A38"/>
  <c r="P37"/>
  <c r="O37"/>
  <c r="L37"/>
  <c r="K37"/>
  <c r="D37"/>
  <c r="C37"/>
  <c r="B37"/>
  <c r="A37"/>
  <c r="P36"/>
  <c r="O36"/>
  <c r="L36"/>
  <c r="K36"/>
  <c r="D36"/>
  <c r="C36"/>
  <c r="B36"/>
  <c r="A36"/>
  <c r="P35"/>
  <c r="O35"/>
  <c r="L35"/>
  <c r="K35"/>
  <c r="D35"/>
  <c r="C35"/>
  <c r="B35"/>
  <c r="A35"/>
  <c r="P34"/>
  <c r="O34"/>
  <c r="L34"/>
  <c r="K34"/>
  <c r="D34"/>
  <c r="C34"/>
  <c r="B34"/>
  <c r="A34"/>
  <c r="P33"/>
  <c r="O33"/>
  <c r="L33"/>
  <c r="K33"/>
  <c r="D33"/>
  <c r="C33"/>
  <c r="B33"/>
  <c r="A33"/>
  <c r="P32"/>
  <c r="O32"/>
  <c r="L32"/>
  <c r="K32"/>
  <c r="I32"/>
  <c r="D32"/>
  <c r="C32"/>
  <c r="B32"/>
  <c r="A32"/>
  <c r="P31"/>
  <c r="O31"/>
  <c r="L31"/>
  <c r="K31"/>
  <c r="D31"/>
  <c r="C31"/>
  <c r="B31"/>
  <c r="A31"/>
  <c r="P30"/>
  <c r="O30"/>
  <c r="L30"/>
  <c r="K30"/>
  <c r="D30"/>
  <c r="C30"/>
  <c r="B30"/>
  <c r="A30"/>
  <c r="P29"/>
  <c r="O29"/>
  <c r="L29"/>
  <c r="K29"/>
  <c r="D29"/>
  <c r="C29"/>
  <c r="B29"/>
  <c r="A29"/>
  <c r="P28"/>
  <c r="O28"/>
  <c r="L28"/>
  <c r="K28"/>
  <c r="D28"/>
  <c r="C28"/>
  <c r="B28"/>
  <c r="A28"/>
  <c r="P27"/>
  <c r="O27"/>
  <c r="L27"/>
  <c r="K27"/>
  <c r="D27"/>
  <c r="C27"/>
  <c r="B27"/>
  <c r="A27"/>
  <c r="P26"/>
  <c r="O26"/>
  <c r="L26"/>
  <c r="K26"/>
  <c r="I26"/>
  <c r="D26"/>
  <c r="C26"/>
  <c r="B26"/>
  <c r="A26"/>
  <c r="P25"/>
  <c r="O25"/>
  <c r="L25"/>
  <c r="K25"/>
  <c r="I25"/>
  <c r="D25"/>
  <c r="C25"/>
  <c r="B25"/>
  <c r="A25"/>
  <c r="P24"/>
  <c r="O24"/>
  <c r="L24"/>
  <c r="K24"/>
  <c r="I24"/>
  <c r="D24"/>
  <c r="C24"/>
  <c r="B24"/>
  <c r="A24"/>
  <c r="P23"/>
  <c r="O23"/>
  <c r="L23"/>
  <c r="K23"/>
  <c r="I23"/>
  <c r="D23"/>
  <c r="C23"/>
  <c r="B23"/>
  <c r="A23"/>
  <c r="P22"/>
  <c r="O22"/>
  <c r="L22"/>
  <c r="K22"/>
  <c r="I22"/>
  <c r="D22"/>
  <c r="C22"/>
  <c r="B22"/>
  <c r="A22"/>
  <c r="P21"/>
  <c r="O21"/>
  <c r="L21"/>
  <c r="K21"/>
  <c r="I21"/>
  <c r="D21"/>
  <c r="C21"/>
  <c r="B21"/>
  <c r="A21"/>
  <c r="P20"/>
  <c r="O20"/>
  <c r="L20"/>
  <c r="K20"/>
  <c r="I20"/>
  <c r="D20"/>
  <c r="C20"/>
  <c r="B20"/>
  <c r="A20"/>
  <c r="P19"/>
  <c r="O19"/>
  <c r="L19"/>
  <c r="K19"/>
  <c r="D19"/>
  <c r="C19"/>
  <c r="B19"/>
  <c r="A19"/>
  <c r="P18"/>
  <c r="O18"/>
  <c r="L18"/>
  <c r="K18"/>
  <c r="I18"/>
  <c r="D18"/>
  <c r="C18"/>
  <c r="B18"/>
  <c r="A18"/>
  <c r="P17"/>
  <c r="O17"/>
  <c r="L17"/>
  <c r="K17"/>
  <c r="D17"/>
  <c r="C17"/>
  <c r="B17"/>
  <c r="A17"/>
  <c r="P16"/>
  <c r="O16"/>
  <c r="L16"/>
  <c r="K16"/>
  <c r="I16"/>
  <c r="D16"/>
  <c r="C16"/>
  <c r="B16"/>
  <c r="A16"/>
  <c r="P15"/>
  <c r="O15"/>
  <c r="L15"/>
  <c r="K15"/>
  <c r="I15"/>
  <c r="D15"/>
  <c r="C15"/>
  <c r="B15"/>
  <c r="A15"/>
  <c r="P14"/>
  <c r="O14"/>
  <c r="L14"/>
  <c r="K14"/>
  <c r="I14"/>
  <c r="D14"/>
  <c r="C14"/>
  <c r="B14"/>
  <c r="A14"/>
  <c r="P13"/>
  <c r="O13"/>
  <c r="L13"/>
  <c r="K13"/>
  <c r="I13"/>
  <c r="D13"/>
  <c r="C13"/>
  <c r="B13"/>
  <c r="A13"/>
  <c r="P12"/>
  <c r="O12"/>
  <c r="L12"/>
  <c r="K12"/>
  <c r="I12"/>
  <c r="D12"/>
  <c r="C12"/>
  <c r="B12"/>
  <c r="A12"/>
  <c r="P11"/>
  <c r="O11"/>
  <c r="L11"/>
  <c r="K11"/>
  <c r="I11"/>
  <c r="D11"/>
  <c r="C11"/>
  <c r="B11"/>
  <c r="A11"/>
  <c r="P10"/>
  <c r="O10"/>
  <c r="L10"/>
  <c r="K10"/>
  <c r="I10"/>
  <c r="D10"/>
  <c r="C10"/>
  <c r="B10"/>
  <c r="A10"/>
  <c r="P9"/>
  <c r="O9"/>
  <c r="L9"/>
  <c r="K9"/>
  <c r="I9"/>
  <c r="D9"/>
  <c r="C9"/>
  <c r="B9"/>
  <c r="A9"/>
  <c r="P8"/>
  <c r="O8"/>
  <c r="L8"/>
  <c r="K8"/>
  <c r="I8"/>
  <c r="D8"/>
  <c r="C8"/>
  <c r="B8"/>
  <c r="A8"/>
  <c r="P7"/>
  <c r="O7"/>
  <c r="L7"/>
  <c r="K7"/>
  <c r="I7"/>
  <c r="D7"/>
  <c r="C7"/>
  <c r="B7"/>
  <c r="A7"/>
  <c r="P6"/>
  <c r="O6"/>
  <c r="L6"/>
  <c r="K6"/>
  <c r="I6"/>
  <c r="D6"/>
  <c r="C6"/>
  <c r="B6"/>
  <c r="A6"/>
  <c r="P5"/>
  <c r="O5"/>
  <c r="L5"/>
  <c r="K5"/>
  <c r="I5"/>
  <c r="D5"/>
  <c r="C5"/>
  <c r="B5"/>
  <c r="A5"/>
  <c r="P4"/>
  <c r="O4"/>
  <c r="L4"/>
  <c r="K4"/>
  <c r="I4"/>
  <c r="D4"/>
  <c r="C4"/>
  <c r="B4"/>
  <c r="A4"/>
  <c r="P3"/>
  <c r="O3"/>
  <c r="L3"/>
  <c r="K3"/>
  <c r="I3"/>
  <c r="D3"/>
  <c r="C3"/>
  <c r="B3"/>
  <c r="A3"/>
  <c r="P2"/>
  <c r="O2"/>
  <c r="L2"/>
  <c r="K2"/>
  <c r="D2"/>
  <c r="C2"/>
  <c r="B2"/>
  <c r="A2"/>
</calcChain>
</file>

<file path=xl/sharedStrings.xml><?xml version="1.0" encoding="utf-8"?>
<sst xmlns="http://schemas.openxmlformats.org/spreadsheetml/2006/main" count="18" uniqueCount="18">
  <si>
    <t>项目名称</t>
  </si>
  <si>
    <t>项目编码</t>
  </si>
  <si>
    <t>项目分类</t>
  </si>
  <si>
    <t>国家医保编码</t>
  </si>
  <si>
    <t>国家医保名称</t>
  </si>
  <si>
    <t>省医保编码</t>
  </si>
  <si>
    <t>单价</t>
  </si>
  <si>
    <t>状态</t>
  </si>
  <si>
    <t>规格</t>
  </si>
  <si>
    <t>材料编码</t>
  </si>
  <si>
    <t>拼音码</t>
  </si>
  <si>
    <t>五笔码</t>
  </si>
  <si>
    <t>单价限价</t>
  </si>
  <si>
    <t>国标码</t>
  </si>
  <si>
    <t>单位</t>
  </si>
  <si>
    <t>核算科目</t>
  </si>
  <si>
    <t>绩效科目</t>
  </si>
  <si>
    <t>自定义码</t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</si>
</sst>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06"/>
  <sheetViews>
    <sheetView tabSelected="1" topLeftCell="A142" workbookViewId="0">
      <selection activeCell="A164" sqref="A164"/>
    </sheetView>
  </sheetViews>
  <sheetFormatPr defaultColWidth="9.875" defaultRowHeight="13.5"/>
  <cols>
    <col min="1" max="1" width="14.125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t="str">
        <f>"血同型半胱氨酸测定（化学法）"</f>
        <v>血同型半胱氨酸测定（化学法）</v>
      </c>
      <c r="B2" t="str">
        <f>"002503060110000"</f>
        <v>002503060110000</v>
      </c>
      <c r="C2" t="str">
        <f>"检验"</f>
        <v>检验</v>
      </c>
      <c r="D2" t="str">
        <f>"002503060110000"</f>
        <v>002503060110000</v>
      </c>
      <c r="G2">
        <v>60</v>
      </c>
      <c r="K2" t="str">
        <f>"XTXBGASCDHXF"</f>
        <v>XTXBGASCDHXF</v>
      </c>
      <c r="L2" t="str">
        <f>"TMGUERSIPWII"</f>
        <v>TMGUERSIPWII</v>
      </c>
      <c r="M2">
        <v>60</v>
      </c>
      <c r="O2" t="str">
        <f>"项"</f>
        <v>项</v>
      </c>
      <c r="P2" t="str">
        <f>"检验费"</f>
        <v>检验费</v>
      </c>
    </row>
    <row r="3" spans="1:18">
      <c r="A3" t="str">
        <f>"临床量表评估（自评）"</f>
        <v>临床量表评估（自评）</v>
      </c>
      <c r="B3" t="str">
        <f>"011102010010000"</f>
        <v>011102010010000</v>
      </c>
      <c r="C3" t="str">
        <f t="shared" ref="C3:C37" si="0">"检查"</f>
        <v>检查</v>
      </c>
      <c r="D3" t="str">
        <f>"011102010010000"</f>
        <v>011102010010000</v>
      </c>
      <c r="G3">
        <v>16</v>
      </c>
      <c r="I3" t="str">
        <f>"次"</f>
        <v>次</v>
      </c>
      <c r="K3" t="str">
        <f>"LCLBPGZP"</f>
        <v>LCLBPGZP</v>
      </c>
      <c r="L3" t="str">
        <f>"JYJGYWTY"</f>
        <v>JYJGYWTY</v>
      </c>
      <c r="M3">
        <v>16</v>
      </c>
      <c r="O3" t="str">
        <f>"次"</f>
        <v>次</v>
      </c>
      <c r="P3" t="str">
        <f t="shared" ref="P3:P11" si="1">"检查费"</f>
        <v>检查费</v>
      </c>
    </row>
    <row r="4" spans="1:18">
      <c r="A4" t="str">
        <f>"临床量表评估（自评）-乙类评估（加收）"</f>
        <v>临床量表评估（自评）-乙类评估（加收）</v>
      </c>
      <c r="B4" t="str">
        <f>"011102010010001"</f>
        <v>011102010010001</v>
      </c>
      <c r="C4" t="str">
        <f t="shared" si="0"/>
        <v>检查</v>
      </c>
      <c r="D4" t="str">
        <f>"011102010010001"</f>
        <v>011102010010001</v>
      </c>
      <c r="G4">
        <v>5</v>
      </c>
      <c r="I4" t="str">
        <f t="shared" ref="I4:I14" si="2">"项"</f>
        <v>项</v>
      </c>
      <c r="K4" t="str">
        <f>"LCLBPGZPYLPGJS"</f>
        <v>LCLBPGZPYLPGJS</v>
      </c>
      <c r="L4" t="str">
        <f>"JYJGYWTYNOYWLN"</f>
        <v>JYJGYWTYNOYWLN</v>
      </c>
      <c r="M4">
        <v>5</v>
      </c>
      <c r="O4" t="str">
        <f t="shared" ref="O4:O11" si="3">"次 . 日"</f>
        <v>次 . 日</v>
      </c>
      <c r="P4" t="str">
        <f t="shared" si="1"/>
        <v>检查费</v>
      </c>
    </row>
    <row r="5" spans="1:18">
      <c r="A5" t="str">
        <f>"临床量表评估（自评）-丙类评估（加收）"</f>
        <v>临床量表评估（自评）-丙类评估（加收）</v>
      </c>
      <c r="B5" t="str">
        <f>"011102010010002"</f>
        <v>011102010010002</v>
      </c>
      <c r="C5" t="str">
        <f t="shared" si="0"/>
        <v>检查</v>
      </c>
      <c r="D5" t="str">
        <f>"011102010010002"</f>
        <v>011102010010002</v>
      </c>
      <c r="G5">
        <v>14</v>
      </c>
      <c r="I5" t="str">
        <f t="shared" si="2"/>
        <v>项</v>
      </c>
      <c r="K5" t="str">
        <f>"LCLBPGZPBLPGJS"</f>
        <v>LCLBPGZPBLPGJS</v>
      </c>
      <c r="L5" t="str">
        <f>"JYJGYWTYGOYWLN"</f>
        <v>JYJGYWTYGOYWLN</v>
      </c>
      <c r="M5">
        <v>14</v>
      </c>
      <c r="O5" t="str">
        <f t="shared" si="3"/>
        <v>次 . 日</v>
      </c>
      <c r="P5" t="str">
        <f t="shared" si="1"/>
        <v>检查费</v>
      </c>
    </row>
    <row r="6" spans="1:18">
      <c r="A6" t="str">
        <f>"临床量表评估（自评）-丁类评估（加收）"</f>
        <v>临床量表评估（自评）-丁类评估（加收）</v>
      </c>
      <c r="B6" t="str">
        <f>"011102010010003"</f>
        <v>011102010010003</v>
      </c>
      <c r="C6" t="str">
        <f t="shared" si="0"/>
        <v>检查</v>
      </c>
      <c r="D6" t="str">
        <f>"011102010010003"</f>
        <v>011102010010003</v>
      </c>
      <c r="G6">
        <v>25</v>
      </c>
      <c r="I6" t="str">
        <f t="shared" si="2"/>
        <v>项</v>
      </c>
      <c r="K6" t="str">
        <f>"LCLBPGZPDLPGJS"</f>
        <v>LCLBPGZPDLPGJS</v>
      </c>
      <c r="L6" t="str">
        <f>"JYJGYWTYSOYWLN"</f>
        <v>JYJGYWTYSOYWLN</v>
      </c>
      <c r="M6">
        <v>25</v>
      </c>
      <c r="O6" t="str">
        <f t="shared" si="3"/>
        <v>次 . 日</v>
      </c>
      <c r="P6" t="str">
        <f t="shared" si="1"/>
        <v>检查费</v>
      </c>
    </row>
    <row r="7" spans="1:18">
      <c r="A7" t="str">
        <f>"临床量表评估（他评）"</f>
        <v>临床量表评估（他评）</v>
      </c>
      <c r="B7" t="str">
        <f>"011102010020000"</f>
        <v>011102010020000</v>
      </c>
      <c r="C7" t="str">
        <f t="shared" si="0"/>
        <v>检查</v>
      </c>
      <c r="D7" t="str">
        <f>"011102010020000"</f>
        <v>011102010020000</v>
      </c>
      <c r="G7">
        <v>32</v>
      </c>
      <c r="I7" t="str">
        <f t="shared" si="2"/>
        <v>项</v>
      </c>
      <c r="K7" t="str">
        <f>"LCLBPGTP"</f>
        <v>LCLBPGTP</v>
      </c>
      <c r="L7" t="str">
        <f>"JYJGYWWY"</f>
        <v>JYJGYWWY</v>
      </c>
      <c r="M7">
        <v>32</v>
      </c>
      <c r="O7" t="str">
        <f t="shared" si="3"/>
        <v>次 . 日</v>
      </c>
      <c r="P7" t="str">
        <f t="shared" si="1"/>
        <v>检查费</v>
      </c>
    </row>
    <row r="8" spans="1:18">
      <c r="A8" t="str">
        <f>"临床量表评估（他评）-乙类评估（加收）"</f>
        <v>临床量表评估（他评）-乙类评估（加收）</v>
      </c>
      <c r="B8" t="str">
        <f>"011102010020001"</f>
        <v>011102010020001</v>
      </c>
      <c r="C8" t="str">
        <f t="shared" si="0"/>
        <v>检查</v>
      </c>
      <c r="D8" t="str">
        <f>"011102010020001"</f>
        <v>011102010020001</v>
      </c>
      <c r="G8">
        <v>10</v>
      </c>
      <c r="I8" t="str">
        <f t="shared" si="2"/>
        <v>项</v>
      </c>
      <c r="K8" t="str">
        <f>"LCLBPGTPYLPGJS"</f>
        <v>LCLBPGTPYLPGJS</v>
      </c>
      <c r="L8" t="str">
        <f>"JYJGYWWYNOYWLN"</f>
        <v>JYJGYWWYNOYWLN</v>
      </c>
      <c r="M8">
        <v>10</v>
      </c>
      <c r="O8" t="str">
        <f t="shared" si="3"/>
        <v>次 . 日</v>
      </c>
      <c r="P8" t="str">
        <f t="shared" si="1"/>
        <v>检查费</v>
      </c>
    </row>
    <row r="9" spans="1:18">
      <c r="A9" t="str">
        <f>"临床量表评估（他评）-丙类评估（加收）"</f>
        <v>临床量表评估（他评）-丙类评估（加收）</v>
      </c>
      <c r="B9" t="str">
        <f>"011102010020002"</f>
        <v>011102010020002</v>
      </c>
      <c r="C9" t="str">
        <f t="shared" si="0"/>
        <v>检查</v>
      </c>
      <c r="D9" t="str">
        <f>"011102010020002"</f>
        <v>011102010020002</v>
      </c>
      <c r="G9">
        <v>28</v>
      </c>
      <c r="I9" t="str">
        <f t="shared" si="2"/>
        <v>项</v>
      </c>
      <c r="K9" t="str">
        <f>"LCLBPGTPBLPGJS"</f>
        <v>LCLBPGTPBLPGJS</v>
      </c>
      <c r="L9" t="str">
        <f>"JYJGYWWYGOYWLN"</f>
        <v>JYJGYWWYGOYWLN</v>
      </c>
      <c r="M9">
        <v>28</v>
      </c>
      <c r="O9" t="str">
        <f t="shared" si="3"/>
        <v>次 . 日</v>
      </c>
      <c r="P9" t="str">
        <f t="shared" si="1"/>
        <v>检查费</v>
      </c>
    </row>
    <row r="10" spans="1:18">
      <c r="A10" t="str">
        <f>"临床量表评估（他评）-丁类评估（加收）"</f>
        <v>临床量表评估（他评）-丁类评估（加收）</v>
      </c>
      <c r="B10" t="str">
        <f>"011102010020003"</f>
        <v>011102010020003</v>
      </c>
      <c r="C10" t="str">
        <f t="shared" si="0"/>
        <v>检查</v>
      </c>
      <c r="D10" t="str">
        <f>"011102010020003"</f>
        <v>011102010020003</v>
      </c>
      <c r="G10">
        <v>50</v>
      </c>
      <c r="I10" t="str">
        <f t="shared" si="2"/>
        <v>项</v>
      </c>
      <c r="K10" t="str">
        <f>"LCLBPGTPDLPGJS"</f>
        <v>LCLBPGTPDLPGJS</v>
      </c>
      <c r="L10" t="str">
        <f>"JYJGYWWYSOYWLN"</f>
        <v>JYJGYWWYSOYWLN</v>
      </c>
      <c r="M10">
        <v>50</v>
      </c>
      <c r="O10" t="str">
        <f t="shared" si="3"/>
        <v>次 . 日</v>
      </c>
      <c r="P10" t="str">
        <f t="shared" si="1"/>
        <v>检查费</v>
      </c>
    </row>
    <row r="11" spans="1:18">
      <c r="A11" t="str">
        <f>"临床量表评估（他评）-儿童评估（扩展）"</f>
        <v>临床量表评估（他评）-儿童评估（扩展）</v>
      </c>
      <c r="B11" t="str">
        <f>"011102010020200"</f>
        <v>011102010020200</v>
      </c>
      <c r="C11" t="str">
        <f t="shared" si="0"/>
        <v>检查</v>
      </c>
      <c r="D11" t="str">
        <f>"011102010020200"</f>
        <v>011102010020200</v>
      </c>
      <c r="G11">
        <v>32</v>
      </c>
      <c r="I11" t="str">
        <f t="shared" si="2"/>
        <v>项</v>
      </c>
      <c r="K11" t="str">
        <f>"LCLBPGTPETPGKZ"</f>
        <v>LCLBPGTPETPGKZ</v>
      </c>
      <c r="L11" t="str">
        <f>"JYJGYWWYQUYWRN"</f>
        <v>JYJGYWWYQUYWRN</v>
      </c>
      <c r="M11">
        <v>32</v>
      </c>
      <c r="O11" t="str">
        <f t="shared" si="3"/>
        <v>次 . 日</v>
      </c>
      <c r="P11" t="str">
        <f t="shared" si="1"/>
        <v>检查费</v>
      </c>
    </row>
    <row r="12" spans="1:18">
      <c r="A12" t="str">
        <f>"X线摄影成像"</f>
        <v>X线摄影成像</v>
      </c>
      <c r="B12" t="str">
        <f>"012301010010000"</f>
        <v>012301010010000</v>
      </c>
      <c r="C12" t="str">
        <f t="shared" si="0"/>
        <v>检查</v>
      </c>
      <c r="D12" t="str">
        <f>"012301010010000"</f>
        <v>012301010010000</v>
      </c>
      <c r="G12">
        <v>40</v>
      </c>
      <c r="I12" t="str">
        <f t="shared" si="2"/>
        <v>项</v>
      </c>
      <c r="K12" t="str">
        <f>"XXSYCX"</f>
        <v>XXSYCX</v>
      </c>
      <c r="L12" t="str">
        <f>"XXRJDW"</f>
        <v>XXRJDW</v>
      </c>
      <c r="M12">
        <v>40</v>
      </c>
      <c r="O12" t="str">
        <f t="shared" ref="O12:O15" si="4">"部位"</f>
        <v>部位</v>
      </c>
      <c r="P12" t="str">
        <f t="shared" ref="P12:P14" si="5">"放射费"</f>
        <v>放射费</v>
      </c>
    </row>
    <row r="13" spans="1:18">
      <c r="A13" t="str">
        <f>"X线摄影成像-口腔曲面体层成像(扩展)"</f>
        <v>X线摄影成像-口腔曲面体层成像(扩展)</v>
      </c>
      <c r="B13" t="str">
        <f>"012301010011100"</f>
        <v>012301010011100</v>
      </c>
      <c r="C13" t="str">
        <f t="shared" si="0"/>
        <v>检查</v>
      </c>
      <c r="D13" t="str">
        <f>"012301010011100"</f>
        <v>012301010011100</v>
      </c>
      <c r="G13">
        <v>40</v>
      </c>
      <c r="I13" t="str">
        <f t="shared" si="2"/>
        <v>项</v>
      </c>
      <c r="K13" t="str">
        <f>"XXSYCXKQQMTCCXKZ"</f>
        <v>XXSYCXKQQMTCCXKZ</v>
      </c>
      <c r="L13" t="str">
        <f>"XXRJDWKEMDWNDWRN"</f>
        <v>XXRJDWKEMDWNDWRN</v>
      </c>
      <c r="M13">
        <v>40</v>
      </c>
      <c r="O13" t="str">
        <f t="shared" si="4"/>
        <v>部位</v>
      </c>
      <c r="P13" t="str">
        <f t="shared" si="5"/>
        <v>放射费</v>
      </c>
    </row>
    <row r="14" spans="1:18">
      <c r="A14" t="str">
        <f>"X线摄影成像(牙片)"</f>
        <v>X线摄影成像(牙片)</v>
      </c>
      <c r="B14" t="str">
        <f>"012301010020000"</f>
        <v>012301010020000</v>
      </c>
      <c r="C14" t="str">
        <f t="shared" si="0"/>
        <v>检查</v>
      </c>
      <c r="D14" t="str">
        <f>"012301010020000"</f>
        <v>012301010020000</v>
      </c>
      <c r="G14">
        <v>15</v>
      </c>
      <c r="I14" t="str">
        <f t="shared" si="2"/>
        <v>项</v>
      </c>
      <c r="K14" t="str">
        <f>"XXSYCXYP"</f>
        <v>XXSYCXYP</v>
      </c>
      <c r="L14" t="str">
        <f>"XXRJDWAT"</f>
        <v>XXRJDWAT</v>
      </c>
      <c r="M14">
        <v>15</v>
      </c>
      <c r="O14" t="str">
        <f t="shared" si="4"/>
        <v>部位</v>
      </c>
      <c r="P14" t="str">
        <f t="shared" si="5"/>
        <v>放射费</v>
      </c>
    </row>
    <row r="15" spans="1:18">
      <c r="A15" t="str">
        <f>"计算机体层成像（CT）平扫"</f>
        <v>计算机体层成像（CT）平扫</v>
      </c>
      <c r="B15" t="str">
        <f>"012301020010000"</f>
        <v>012301020010000</v>
      </c>
      <c r="C15" t="str">
        <f t="shared" si="0"/>
        <v>检查</v>
      </c>
      <c r="D15" t="str">
        <f>"012301020010000"</f>
        <v>012301020010000</v>
      </c>
      <c r="G15">
        <v>190</v>
      </c>
      <c r="I15" t="str">
        <f>"次"</f>
        <v>次</v>
      </c>
      <c r="K15" t="str">
        <f>"JSJTCCXCTPS"</f>
        <v>JSJTCCXCTPS</v>
      </c>
      <c r="L15" t="str">
        <f>"YTSWNDWCTGR"</f>
        <v>YTSWNDWCTGR</v>
      </c>
      <c r="M15">
        <v>190</v>
      </c>
      <c r="O15" t="str">
        <f t="shared" si="4"/>
        <v>部位</v>
      </c>
      <c r="P15" t="str">
        <f>"CT费"</f>
        <v>CT费</v>
      </c>
    </row>
    <row r="16" spans="1:18">
      <c r="A16" t="str">
        <f>"计算机体层成像（CT）平扫-口腔颌面锥形束 CT（CBCT）（扩展）"</f>
        <v>计算机体层成像（CT）平扫-口腔颌面锥形束 CT（CBCT）（扩展）</v>
      </c>
      <c r="B16" t="str">
        <f>"012301020011100"</f>
        <v>012301020011100</v>
      </c>
      <c r="C16" t="str">
        <f t="shared" si="0"/>
        <v>检查</v>
      </c>
      <c r="D16" t="str">
        <f>"012301020011100"</f>
        <v>012301020011100</v>
      </c>
      <c r="G16">
        <v>190</v>
      </c>
      <c r="I16" t="str">
        <f>"项"</f>
        <v>项</v>
      </c>
      <c r="K16" t="str">
        <f>"JSJTCCXCTPSKQMZX"</f>
        <v>JSJTCCXCTPSKQMZX</v>
      </c>
      <c r="L16" t="str">
        <f>"YTSWNDWCTGRKEWDQ"</f>
        <v>YTSWNDWCTGRKEWDQ</v>
      </c>
      <c r="M16">
        <v>190</v>
      </c>
      <c r="O16" t="str">
        <f>"次"</f>
        <v>次</v>
      </c>
      <c r="P16" t="str">
        <f>"CT费"</f>
        <v>CT费</v>
      </c>
    </row>
    <row r="17" spans="1:16">
      <c r="A17" t="str">
        <f>"彩色多普勒超声检查（常规）"</f>
        <v>彩色多普勒超声检查（常规）</v>
      </c>
      <c r="B17" t="str">
        <f>"012302030010000"</f>
        <v>012302030010000</v>
      </c>
      <c r="C17" t="str">
        <f t="shared" si="0"/>
        <v>检查</v>
      </c>
      <c r="D17" t="str">
        <f t="shared" ref="D17:D19" si="6">"012302030010000"</f>
        <v>012302030010000</v>
      </c>
      <c r="G17">
        <v>72</v>
      </c>
      <c r="I17">
        <v>1</v>
      </c>
      <c r="K17" t="str">
        <f>"CSDPLCSJCCG"</f>
        <v>CSDPLCSJCCG</v>
      </c>
      <c r="L17" t="str">
        <f>"EQQUAFFSSIF"</f>
        <v>EQQUAFFSSIF</v>
      </c>
      <c r="M17">
        <v>85</v>
      </c>
      <c r="O17" t="str">
        <f>"每个 部位"</f>
        <v>每个 部位</v>
      </c>
      <c r="P17" t="str">
        <f t="shared" ref="P17:P26" si="7">"彩超费"</f>
        <v>彩超费</v>
      </c>
    </row>
    <row r="18" spans="1:16">
      <c r="A18" t="str">
        <f>"膀胱残余尿量测定"</f>
        <v>膀胱残余尿量测定</v>
      </c>
      <c r="B18" t="str">
        <f>"012302030010000-1"</f>
        <v>012302030010000-1</v>
      </c>
      <c r="C18" t="str">
        <f t="shared" si="0"/>
        <v>检查</v>
      </c>
      <c r="D18" t="str">
        <f t="shared" si="6"/>
        <v>012302030010000</v>
      </c>
      <c r="G18">
        <v>25</v>
      </c>
      <c r="I18" t="str">
        <f>"次"</f>
        <v>次</v>
      </c>
      <c r="K18" t="str">
        <f>"BCYNLCD"</f>
        <v>BCYNLCD</v>
      </c>
      <c r="L18" t="str">
        <f>"EEGWNJIP"</f>
        <v>EEGWNJIP</v>
      </c>
      <c r="M18">
        <v>25</v>
      </c>
      <c r="O18" t="str">
        <f>"次"</f>
        <v>次</v>
      </c>
      <c r="P18" t="str">
        <f t="shared" si="7"/>
        <v>彩超费</v>
      </c>
    </row>
    <row r="19" spans="1:16">
      <c r="A19" t="str">
        <f>"彩色多普勒超声检查（常规）-单侧乳腺及其引流区淋巴"</f>
        <v>彩色多普勒超声检查（常规）-单侧乳腺及其引流区淋巴</v>
      </c>
      <c r="B19" t="str">
        <f>"012302030010000-14"</f>
        <v>012302030010000-14</v>
      </c>
      <c r="C19" t="str">
        <f t="shared" si="0"/>
        <v>检查</v>
      </c>
      <c r="D19" t="str">
        <f t="shared" si="6"/>
        <v>012302030010000</v>
      </c>
      <c r="G19">
        <v>36</v>
      </c>
      <c r="I19">
        <v>1</v>
      </c>
      <c r="K19" t="str">
        <f>"CSDPLCSJCCGDCRXJ"</f>
        <v>CSDPLCSJCCGDCRXJ</v>
      </c>
      <c r="L19" t="str">
        <f>"EQQUAFFSSIFUWEEE"</f>
        <v>EQQUAFFSSIFUWEEE</v>
      </c>
      <c r="M19">
        <v>36</v>
      </c>
      <c r="O19" t="str">
        <f t="shared" ref="O19:O21" si="8">"部位"</f>
        <v>部位</v>
      </c>
      <c r="P19" t="str">
        <f t="shared" si="7"/>
        <v>彩超费</v>
      </c>
    </row>
    <row r="20" spans="1:16">
      <c r="A20" t="str">
        <f>"彩色多普勒超声检查（常规）-腔内检查（加收）"</f>
        <v>彩色多普勒超声检查（常规）-腔内检查（加收）</v>
      </c>
      <c r="B20" t="str">
        <f>"012302030010011"</f>
        <v>012302030010011</v>
      </c>
      <c r="C20" t="str">
        <f t="shared" si="0"/>
        <v>检查</v>
      </c>
      <c r="D20" t="str">
        <f>"012302030010011"</f>
        <v>012302030010011</v>
      </c>
      <c r="G20">
        <v>20</v>
      </c>
      <c r="I20" t="str">
        <f t="shared" ref="I20:I23" si="9">"部位"</f>
        <v>部位</v>
      </c>
      <c r="K20" t="str">
        <f>"CSDPLCSJCCGQNJCJ"</f>
        <v>CSDPLCSJCCGQNJCJ</v>
      </c>
      <c r="L20" t="str">
        <f>"EQQUAFFSSIFEMSSL"</f>
        <v>EQQUAFFSSIFEMSSL</v>
      </c>
      <c r="M20">
        <v>20</v>
      </c>
      <c r="O20" t="str">
        <f t="shared" si="8"/>
        <v>部位</v>
      </c>
      <c r="P20" t="str">
        <f t="shared" si="7"/>
        <v>彩超费</v>
      </c>
    </row>
    <row r="21" spans="1:16">
      <c r="A21" t="str">
        <f>"彩色多普勒超声检查（常规）-排卵监测（减收）"</f>
        <v>彩色多普勒超声检查（常规）-排卵监测（减收）</v>
      </c>
      <c r="B21" t="str">
        <f>"012302030010031"</f>
        <v>012302030010031</v>
      </c>
      <c r="C21" t="str">
        <f t="shared" si="0"/>
        <v>检查</v>
      </c>
      <c r="D21" t="str">
        <f>"012302030010031"</f>
        <v>012302030010031</v>
      </c>
      <c r="G21">
        <v>50</v>
      </c>
      <c r="I21" t="str">
        <f t="shared" si="9"/>
        <v>部位</v>
      </c>
      <c r="K21" t="str">
        <f>"CSDPLCSJCCGPLJCJ"</f>
        <v>CSDPLCSJCCGPLJCJ</v>
      </c>
      <c r="L21" t="str">
        <f>"EQQUAFFSSIFRQJIU"</f>
        <v>EQQUAFFSSIFRQJIU</v>
      </c>
      <c r="M21">
        <v>50</v>
      </c>
      <c r="O21" t="str">
        <f t="shared" si="8"/>
        <v>部位</v>
      </c>
      <c r="P21" t="str">
        <f t="shared" si="7"/>
        <v>彩超费</v>
      </c>
    </row>
    <row r="22" spans="1:16">
      <c r="A22" t="str">
        <f>"彩色多普勒超声检查（心脏）"</f>
        <v>彩色多普勒超声检查（心脏）</v>
      </c>
      <c r="B22" t="str">
        <f>"012302030020000"</f>
        <v>012302030020000</v>
      </c>
      <c r="C22" t="str">
        <f t="shared" si="0"/>
        <v>检查</v>
      </c>
      <c r="D22" t="str">
        <f>"012302030020000"</f>
        <v>012302030020000</v>
      </c>
      <c r="G22">
        <v>200</v>
      </c>
      <c r="I22" t="str">
        <f>"次"</f>
        <v>次</v>
      </c>
      <c r="K22" t="str">
        <f>"CSDPLCSJCXZ"</f>
        <v>CSDPLCSJCXZ</v>
      </c>
      <c r="L22" t="str">
        <f>"EQQUAFFSSNE"</f>
        <v>EQQUAFFSSNE</v>
      </c>
      <c r="M22">
        <v>200</v>
      </c>
      <c r="O22" t="str">
        <f t="shared" ref="O22:O26" si="10">"次"</f>
        <v>次</v>
      </c>
      <c r="P22" t="str">
        <f t="shared" si="7"/>
        <v>彩超费</v>
      </c>
    </row>
    <row r="23" spans="1:16">
      <c r="A23" t="str">
        <f>"彩色多普勒超声检查（血管）"</f>
        <v>彩色多普勒超声检查（血管）</v>
      </c>
      <c r="B23" t="str">
        <f>"012302030030000"</f>
        <v>012302030030000</v>
      </c>
      <c r="C23" t="str">
        <f t="shared" si="0"/>
        <v>检查</v>
      </c>
      <c r="D23" t="str">
        <f>"012302030030000"</f>
        <v>012302030030000</v>
      </c>
      <c r="G23">
        <v>72</v>
      </c>
      <c r="I23" t="str">
        <f t="shared" si="9"/>
        <v>部位</v>
      </c>
      <c r="K23" t="str">
        <f>"CSDPLCSJCXG"</f>
        <v>CSDPLCSJCXG</v>
      </c>
      <c r="L23" t="str">
        <f>"EQQUAFFSSTT"</f>
        <v>EQQUAFFSSTT</v>
      </c>
      <c r="M23">
        <v>85</v>
      </c>
      <c r="O23" t="str">
        <f>"部位"</f>
        <v>部位</v>
      </c>
      <c r="P23" t="str">
        <f t="shared" si="7"/>
        <v>彩超费</v>
      </c>
    </row>
    <row r="24" spans="1:16">
      <c r="A24" t="str">
        <f>"彩色多普勒超声检查（弹性成像）"</f>
        <v>彩色多普勒超声检查（弹性成像）</v>
      </c>
      <c r="B24" t="str">
        <f>"012302030040000"</f>
        <v>012302030040000</v>
      </c>
      <c r="C24" t="str">
        <f t="shared" si="0"/>
        <v>检查</v>
      </c>
      <c r="D24" t="str">
        <f>"012302030040000"</f>
        <v>012302030040000</v>
      </c>
      <c r="G24">
        <v>98</v>
      </c>
      <c r="I24" t="str">
        <f>"器官"</f>
        <v>器官</v>
      </c>
      <c r="K24" t="str">
        <f>"CSDPLCSJCDXCX"</f>
        <v>CSDPLCSJCDXCX</v>
      </c>
      <c r="L24" t="str">
        <f>"EQQUAFFSSXNDW"</f>
        <v>EQQUAFFSSXNDW</v>
      </c>
      <c r="M24">
        <v>115</v>
      </c>
      <c r="O24" t="str">
        <f>"部位"</f>
        <v>部位</v>
      </c>
      <c r="P24" t="str">
        <f t="shared" si="7"/>
        <v>彩超费</v>
      </c>
    </row>
    <row r="25" spans="1:16">
      <c r="A25" t="str">
        <f>"彩色多普勒超声检查（胎儿）"</f>
        <v>彩色多普勒超声检查（胎儿）</v>
      </c>
      <c r="B25" t="str">
        <f>"012302030050000"</f>
        <v>012302030050000</v>
      </c>
      <c r="C25" t="str">
        <f t="shared" si="0"/>
        <v>检查</v>
      </c>
      <c r="D25" t="str">
        <f>"012302030050000"</f>
        <v>012302030050000</v>
      </c>
      <c r="G25">
        <v>119</v>
      </c>
      <c r="I25" t="str">
        <f>"胎·次"</f>
        <v>胎·次</v>
      </c>
      <c r="K25" t="str">
        <f>"CSDPLCSJCTE"</f>
        <v>CSDPLCSJCTE</v>
      </c>
      <c r="L25" t="str">
        <f>"EQQUAFFSSEQ"</f>
        <v>EQQUAFFSSEQ</v>
      </c>
      <c r="M25">
        <v>140</v>
      </c>
      <c r="O25" t="str">
        <f t="shared" si="10"/>
        <v>次</v>
      </c>
      <c r="P25" t="str">
        <f t="shared" si="7"/>
        <v>彩超费</v>
      </c>
    </row>
    <row r="26" spans="1:16">
      <c r="A26" t="str">
        <f>"多普勒检查（周围血管）"</f>
        <v>多普勒检查（周围血管）</v>
      </c>
      <c r="B26" t="str">
        <f>"012302050010000"</f>
        <v>012302050010000</v>
      </c>
      <c r="C26" t="str">
        <f t="shared" si="0"/>
        <v>检查</v>
      </c>
      <c r="D26" t="str">
        <f>"012302050010000"</f>
        <v>012302050010000</v>
      </c>
      <c r="G26">
        <v>75</v>
      </c>
      <c r="I26" t="str">
        <f>"次"</f>
        <v>次</v>
      </c>
      <c r="K26" t="str">
        <f>"DPLJCZWXG"</f>
        <v>DPLJCZWXG</v>
      </c>
      <c r="L26" t="str">
        <f>"QUASSMLTT"</f>
        <v>QUASSMLTT</v>
      </c>
      <c r="M26">
        <v>75</v>
      </c>
      <c r="O26" t="str">
        <f t="shared" si="10"/>
        <v>次</v>
      </c>
      <c r="P26" t="str">
        <f t="shared" si="7"/>
        <v>彩超费</v>
      </c>
    </row>
    <row r="27" spans="1:16">
      <c r="A27" t="str">
        <f>"电耳镜检查费"</f>
        <v>电耳镜检查费</v>
      </c>
      <c r="B27" t="str">
        <f>"012404000020000"</f>
        <v>012404000020000</v>
      </c>
      <c r="C27" t="str">
        <f t="shared" si="0"/>
        <v>检查</v>
      </c>
      <c r="D27" t="str">
        <f>"012404000020000"</f>
        <v>012404000020000</v>
      </c>
      <c r="G27">
        <v>4</v>
      </c>
      <c r="K27" t="str">
        <f>"DEJJCF"</f>
        <v>DEJJCF</v>
      </c>
      <c r="L27" t="str">
        <f>"JBQSSX"</f>
        <v>JBQSSX</v>
      </c>
      <c r="M27">
        <v>4</v>
      </c>
      <c r="O27" t="str">
        <f>"每次"</f>
        <v>每次</v>
      </c>
      <c r="P27" t="str">
        <f t="shared" ref="P27:P32" si="11">"检查费"</f>
        <v>检查费</v>
      </c>
    </row>
    <row r="28" spans="1:16">
      <c r="A28" t="str">
        <f>"耳声发射检查费"</f>
        <v>耳声发射检查费</v>
      </c>
      <c r="B28" t="str">
        <f>"012404000090000"</f>
        <v>012404000090000</v>
      </c>
      <c r="C28" t="str">
        <f t="shared" si="0"/>
        <v>检查</v>
      </c>
      <c r="D28" t="str">
        <f>"012404000090000"</f>
        <v>012404000090000</v>
      </c>
      <c r="G28">
        <v>65</v>
      </c>
      <c r="I28">
        <v>1</v>
      </c>
      <c r="K28" t="str">
        <f>"ESFSJCF"</f>
        <v>ESFSJCF</v>
      </c>
      <c r="L28" t="str">
        <f>"BFNTSSX"</f>
        <v>BFNTSSX</v>
      </c>
      <c r="M28">
        <v>65</v>
      </c>
      <c r="O28" t="str">
        <f>"单侧"</f>
        <v>单侧</v>
      </c>
      <c r="P28" t="str">
        <f t="shared" si="11"/>
        <v>检查费</v>
      </c>
    </row>
    <row r="29" spans="1:16">
      <c r="A29" t="str">
        <f>"前鼻镜检查费"</f>
        <v>前鼻镜检查费</v>
      </c>
      <c r="B29" t="str">
        <f>"012405000010000"</f>
        <v>012405000010000</v>
      </c>
      <c r="C29" t="str">
        <f t="shared" si="0"/>
        <v>检查</v>
      </c>
      <c r="D29" t="str">
        <f>"012405000010000"</f>
        <v>012405000010000</v>
      </c>
      <c r="G29">
        <v>3.9</v>
      </c>
      <c r="K29" t="str">
        <f>"QBJJCF"</f>
        <v>QBJJCF</v>
      </c>
      <c r="L29" t="str">
        <f>"UTQSSX"</f>
        <v>UTQSSX</v>
      </c>
      <c r="M29">
        <v>3.9</v>
      </c>
      <c r="O29" t="str">
        <f t="shared" ref="O29:O33" si="12">"次"</f>
        <v>次</v>
      </c>
      <c r="P29" t="str">
        <f t="shared" si="11"/>
        <v>检查费</v>
      </c>
    </row>
    <row r="30" spans="1:16">
      <c r="A30" t="str">
        <f>"间接鼻咽喉镜检查费"</f>
        <v>间接鼻咽喉镜检查费</v>
      </c>
      <c r="B30" t="str">
        <f>"012405000080000"</f>
        <v>012405000080000</v>
      </c>
      <c r="C30" t="str">
        <f t="shared" si="0"/>
        <v>检查</v>
      </c>
      <c r="D30" t="str">
        <f>"012405000080000"</f>
        <v>012405000080000</v>
      </c>
      <c r="G30">
        <v>21</v>
      </c>
      <c r="K30" t="str">
        <f>"JJBYHJJCF"</f>
        <v>JJBYHJJCF</v>
      </c>
      <c r="L30" t="str">
        <f>"URTKKQSSX"</f>
        <v>URTKKQSSX</v>
      </c>
      <c r="M30">
        <v>21</v>
      </c>
      <c r="O30" t="str">
        <f t="shared" si="12"/>
        <v>次</v>
      </c>
      <c r="P30" t="str">
        <f t="shared" si="11"/>
        <v>检查费</v>
      </c>
    </row>
    <row r="31" spans="1:16">
      <c r="A31" t="str">
        <f>"间接喉镜检查"</f>
        <v>间接喉镜检查</v>
      </c>
      <c r="B31" t="str">
        <f>"012405000080000-1"</f>
        <v>012405000080000-1</v>
      </c>
      <c r="C31" t="str">
        <f t="shared" si="0"/>
        <v>检查</v>
      </c>
      <c r="D31" t="str">
        <f>"012405000080000"</f>
        <v>012405000080000</v>
      </c>
      <c r="G31">
        <v>7.8</v>
      </c>
      <c r="K31" t="str">
        <f>"JJHJJC"</f>
        <v>JJHJJC</v>
      </c>
      <c r="L31" t="str">
        <f>"URKQSS"</f>
        <v>URKQSS</v>
      </c>
      <c r="M31">
        <v>7.8</v>
      </c>
      <c r="O31" t="str">
        <f t="shared" si="12"/>
        <v>次</v>
      </c>
      <c r="P31" t="str">
        <f t="shared" si="11"/>
        <v>检查费</v>
      </c>
    </row>
    <row r="32" spans="1:16">
      <c r="A32" t="str">
        <f>"肺通气功能检查费"</f>
        <v>肺通气功能检查费</v>
      </c>
      <c r="B32" t="str">
        <f>"012407000020000"</f>
        <v>012407000020000</v>
      </c>
      <c r="C32" t="str">
        <f t="shared" si="0"/>
        <v>检查</v>
      </c>
      <c r="D32" t="str">
        <f>"012407000020000"</f>
        <v>012407000020000</v>
      </c>
      <c r="G32">
        <v>138</v>
      </c>
      <c r="I32" t="str">
        <f>"次"</f>
        <v>次</v>
      </c>
      <c r="K32" t="str">
        <f>"FTQGNJCF"</f>
        <v>FTQGNJCF</v>
      </c>
      <c r="L32" t="str">
        <f>"ECRACSSX"</f>
        <v>ECRACSSX</v>
      </c>
      <c r="M32">
        <v>138</v>
      </c>
      <c r="O32" t="str">
        <f t="shared" si="12"/>
        <v>次</v>
      </c>
      <c r="P32" t="str">
        <f t="shared" si="11"/>
        <v>检查费</v>
      </c>
    </row>
    <row r="33" spans="1:16">
      <c r="A33" t="str">
        <f>"常规心电图检查费"</f>
        <v>常规心电图检查费</v>
      </c>
      <c r="B33" t="str">
        <f>"012408000030000"</f>
        <v>012408000030000</v>
      </c>
      <c r="C33" t="str">
        <f t="shared" si="0"/>
        <v>检查</v>
      </c>
      <c r="D33" t="str">
        <f>"012408000030000"</f>
        <v>012408000030000</v>
      </c>
      <c r="G33">
        <v>36</v>
      </c>
      <c r="K33" t="str">
        <f>"CGXDTJCF"</f>
        <v>CGXDTJCF</v>
      </c>
      <c r="L33" t="str">
        <f>"IFNJLSSX"</f>
        <v>IFNJLSSX</v>
      </c>
      <c r="M33">
        <v>36</v>
      </c>
      <c r="O33" t="str">
        <f t="shared" si="12"/>
        <v>次</v>
      </c>
      <c r="P33" t="str">
        <f>"心电图"</f>
        <v>心电图</v>
      </c>
    </row>
    <row r="34" spans="1:16">
      <c r="A34" t="str">
        <f>"动态心电图检查费"</f>
        <v>动态心电图检查费</v>
      </c>
      <c r="B34" t="str">
        <f>"012408000060000"</f>
        <v>012408000060000</v>
      </c>
      <c r="C34" t="str">
        <f t="shared" si="0"/>
        <v>检查</v>
      </c>
      <c r="D34" t="str">
        <f>"012408000060000"</f>
        <v>012408000060000</v>
      </c>
      <c r="G34">
        <v>192</v>
      </c>
      <c r="K34" t="str">
        <f>"DTXDTJCF"</f>
        <v>DTXDTJCF</v>
      </c>
      <c r="L34" t="str">
        <f>"FDNJLSSX"</f>
        <v>FDNJLSSX</v>
      </c>
      <c r="M34">
        <v>192</v>
      </c>
      <c r="O34" t="str">
        <f>"日"</f>
        <v>日</v>
      </c>
      <c r="P34" t="str">
        <f>"心电图"</f>
        <v>心电图</v>
      </c>
    </row>
    <row r="35" spans="1:16">
      <c r="A35" t="str">
        <f>"无创动态血压监测费"</f>
        <v>无创动态血压监测费</v>
      </c>
      <c r="B35" t="str">
        <f>"012408000110000"</f>
        <v>012408000110000</v>
      </c>
      <c r="C35" t="str">
        <f t="shared" si="0"/>
        <v>检查</v>
      </c>
      <c r="D35" t="str">
        <f>"012408000110000"</f>
        <v>012408000110000</v>
      </c>
      <c r="G35">
        <v>144</v>
      </c>
      <c r="K35" t="str">
        <f>"WCDTXYJCF"</f>
        <v>WCDTXYJCF</v>
      </c>
      <c r="L35" t="str">
        <f>"FWFDTDJIX"</f>
        <v>FWFDTDJIX</v>
      </c>
      <c r="M35">
        <v>144</v>
      </c>
      <c r="O35" t="str">
        <f>"日"</f>
        <v>日</v>
      </c>
      <c r="P35" t="str">
        <f t="shared" ref="P35:P37" si="13">"检查费"</f>
        <v>检查费</v>
      </c>
    </row>
    <row r="36" spans="1:16">
      <c r="A36" t="str">
        <f>"骨密度测定（超声）"</f>
        <v>骨密度测定（超声）</v>
      </c>
      <c r="B36" t="str">
        <f>"012415000010000-1"</f>
        <v>012415000010000-1</v>
      </c>
      <c r="C36" t="str">
        <f t="shared" si="0"/>
        <v>检查</v>
      </c>
      <c r="D36" t="str">
        <f>"012415000010000"</f>
        <v>012415000010000</v>
      </c>
      <c r="G36">
        <v>40</v>
      </c>
      <c r="K36" t="str">
        <f>"GMDCDCS"</f>
        <v>GMDCDCS</v>
      </c>
      <c r="L36" t="str">
        <f>"MPYIPFF"</f>
        <v>MPYIPFF</v>
      </c>
      <c r="M36">
        <v>40</v>
      </c>
      <c r="O36" t="str">
        <f t="shared" ref="O36:O45" si="14">"次"</f>
        <v>次</v>
      </c>
      <c r="P36" t="str">
        <f t="shared" si="13"/>
        <v>检查费</v>
      </c>
    </row>
    <row r="37" spans="1:16">
      <c r="A37" t="str">
        <f>"神经阻滞治疗费"</f>
        <v>神经阻滞治疗费</v>
      </c>
      <c r="B37" t="str">
        <f>"013101000050000"</f>
        <v>013101000050000</v>
      </c>
      <c r="C37" t="str">
        <f t="shared" si="0"/>
        <v>检查</v>
      </c>
      <c r="D37" t="str">
        <f>"013101000050000"</f>
        <v>013101000050000</v>
      </c>
      <c r="G37">
        <v>65</v>
      </c>
      <c r="I37">
        <v>1</v>
      </c>
      <c r="K37" t="str">
        <f>"SJZZZLF"</f>
        <v>SJZZZLF</v>
      </c>
      <c r="L37" t="str">
        <f>"PXBIIUX"</f>
        <v>PXBIIUX</v>
      </c>
      <c r="M37">
        <v>65</v>
      </c>
      <c r="O37" t="str">
        <f t="shared" si="14"/>
        <v>次</v>
      </c>
      <c r="P37" t="str">
        <f t="shared" si="13"/>
        <v>检查费</v>
      </c>
    </row>
    <row r="38" spans="1:16">
      <c r="A38" t="str">
        <f>"耳道冲洗费"</f>
        <v>耳道冲洗费</v>
      </c>
      <c r="B38" t="str">
        <f>"013104010080000"</f>
        <v>013104010080000</v>
      </c>
      <c r="C38" t="str">
        <f t="shared" ref="C38:C42" si="15">"治疗"</f>
        <v>治疗</v>
      </c>
      <c r="D38" t="str">
        <f>"013104010080000"</f>
        <v>013104010080000</v>
      </c>
      <c r="G38">
        <v>6</v>
      </c>
      <c r="K38" t="str">
        <f>"EDCXF"</f>
        <v>EDCXF</v>
      </c>
      <c r="L38" t="str">
        <f>"BUUIX"</f>
        <v>BUUIX</v>
      </c>
      <c r="M38">
        <v>6</v>
      </c>
      <c r="O38" t="str">
        <f>"单侧"</f>
        <v>单侧</v>
      </c>
      <c r="P38" t="str">
        <f t="shared" ref="P38:P42" si="16">"治疗费"</f>
        <v>治疗费</v>
      </c>
    </row>
    <row r="39" spans="1:16">
      <c r="A39" t="str">
        <f>"鼻腔异物取出费"</f>
        <v>鼻腔异物取出费</v>
      </c>
      <c r="B39" t="str">
        <f>"013104020010000"</f>
        <v>013104020010000</v>
      </c>
      <c r="C39" t="str">
        <f t="shared" si="15"/>
        <v>治疗</v>
      </c>
      <c r="D39" t="str">
        <f>"013104020010000"</f>
        <v>013104020010000</v>
      </c>
      <c r="G39">
        <v>47</v>
      </c>
      <c r="K39" t="str">
        <f>"BQYWQCF"</f>
        <v>BQYWQCF</v>
      </c>
      <c r="L39" t="str">
        <f>"TENTBBX"</f>
        <v>TENTBBX</v>
      </c>
      <c r="M39">
        <v>47</v>
      </c>
      <c r="O39" t="str">
        <f>"单侧"</f>
        <v>单侧</v>
      </c>
      <c r="P39" t="str">
        <f t="shared" si="16"/>
        <v>治疗费</v>
      </c>
    </row>
    <row r="40" spans="1:16">
      <c r="A40" t="str">
        <f>"异物取出费（口咽部）"</f>
        <v>异物取出费（口咽部）</v>
      </c>
      <c r="B40" t="str">
        <f>"013104020070000"</f>
        <v>013104020070000</v>
      </c>
      <c r="C40" t="str">
        <f t="shared" si="15"/>
        <v>治疗</v>
      </c>
      <c r="D40" t="str">
        <f>"013104020070000"</f>
        <v>013104020070000</v>
      </c>
      <c r="G40">
        <v>13</v>
      </c>
      <c r="K40" t="str">
        <f>"YWQCFKYB"</f>
        <v>YWQCFKYB</v>
      </c>
      <c r="L40" t="str">
        <f>"NTBBXKKU"</f>
        <v>NTBBXKKU</v>
      </c>
      <c r="M40">
        <v>13</v>
      </c>
      <c r="O40" t="str">
        <f t="shared" si="14"/>
        <v>次</v>
      </c>
      <c r="P40" t="str">
        <f t="shared" si="16"/>
        <v>治疗费</v>
      </c>
    </row>
    <row r="41" spans="1:16">
      <c r="A41" t="str">
        <f>"雾化吸入治疗费"</f>
        <v>雾化吸入治疗费</v>
      </c>
      <c r="B41" t="str">
        <f>"013106000030000"</f>
        <v>013106000030000</v>
      </c>
      <c r="C41" t="str">
        <f t="shared" si="15"/>
        <v>治疗</v>
      </c>
      <c r="D41" t="str">
        <f>"013106000030000"</f>
        <v>013106000030000</v>
      </c>
      <c r="G41">
        <v>26</v>
      </c>
      <c r="I41" t="str">
        <f t="shared" ref="I41:I45" si="17">"次"</f>
        <v>次</v>
      </c>
      <c r="K41" t="str">
        <f>"WHXRZLF"</f>
        <v>WHXRZLF</v>
      </c>
      <c r="L41" t="str">
        <f>"FWKTIUX"</f>
        <v>FWKTIUX</v>
      </c>
      <c r="M41">
        <v>26</v>
      </c>
      <c r="O41" t="str">
        <f t="shared" si="14"/>
        <v>次</v>
      </c>
      <c r="P41" t="str">
        <f t="shared" si="16"/>
        <v>治疗费</v>
      </c>
    </row>
    <row r="42" spans="1:16">
      <c r="A42" t="str">
        <f>"雾化吸入治疗费(第二次及后续)"</f>
        <v>雾化吸入治疗费(第二次及后续)</v>
      </c>
      <c r="B42" t="str">
        <f>"013106000030000-2"</f>
        <v>013106000030000-2</v>
      </c>
      <c r="C42" t="str">
        <f t="shared" si="15"/>
        <v>治疗</v>
      </c>
      <c r="D42" t="str">
        <f>"013106000030000"</f>
        <v>013106000030000</v>
      </c>
      <c r="G42">
        <v>6.5</v>
      </c>
      <c r="I42" t="str">
        <f t="shared" si="17"/>
        <v>次</v>
      </c>
      <c r="K42" t="str">
        <f>"WHXRZLFDECJHX"</f>
        <v>WHXRZLFDECJHX</v>
      </c>
      <c r="L42" t="str">
        <f>"FWKTIUXTFUERX"</f>
        <v>FWKTIUXTFUERX</v>
      </c>
      <c r="M42">
        <v>6.5</v>
      </c>
      <c r="O42" t="str">
        <f t="shared" si="14"/>
        <v>次</v>
      </c>
      <c r="P42" t="str">
        <f t="shared" si="16"/>
        <v>治疗费</v>
      </c>
    </row>
    <row r="43" spans="1:16">
      <c r="A43" t="str">
        <f>"产前常规检查"</f>
        <v>产前常规检查</v>
      </c>
      <c r="B43" t="str">
        <f>"013112020010000"</f>
        <v>013112020010000</v>
      </c>
      <c r="C43" t="str">
        <f>"检查"</f>
        <v>检查</v>
      </c>
      <c r="D43" t="str">
        <f>"013112020010000"</f>
        <v>013112020010000</v>
      </c>
      <c r="G43">
        <v>17</v>
      </c>
      <c r="I43" t="str">
        <f t="shared" si="17"/>
        <v>次</v>
      </c>
      <c r="K43" t="str">
        <f>"CQCGJC"</f>
        <v>CQCGJC</v>
      </c>
      <c r="L43" t="str">
        <f>"UUIFSS"</f>
        <v>UUIFSS</v>
      </c>
      <c r="M43">
        <v>17</v>
      </c>
      <c r="O43" t="str">
        <f t="shared" si="14"/>
        <v>次</v>
      </c>
      <c r="P43" t="str">
        <f>"检查费"</f>
        <v>检查费</v>
      </c>
    </row>
    <row r="44" spans="1:16">
      <c r="A44" t="str">
        <f>"局部麻醉费（局部浸润麻醉）"</f>
        <v>局部麻醉费（局部浸润麻醉）</v>
      </c>
      <c r="B44" t="str">
        <f>"013301000010000"</f>
        <v>013301000010000</v>
      </c>
      <c r="C44" t="str">
        <f>"麻醉"</f>
        <v>麻醉</v>
      </c>
      <c r="D44" t="str">
        <f>"013301000010000"</f>
        <v>013301000010000</v>
      </c>
      <c r="G44">
        <v>35</v>
      </c>
      <c r="I44" t="str">
        <f t="shared" si="17"/>
        <v>次</v>
      </c>
      <c r="K44" t="str">
        <f>"JBMZFJBJRMZ"</f>
        <v>JBMZFJBJRMZ</v>
      </c>
      <c r="L44" t="str">
        <f>"NUYSXNUIIYS"</f>
        <v>NUYSXNUIIYS</v>
      </c>
      <c r="M44">
        <v>35</v>
      </c>
      <c r="O44" t="str">
        <f t="shared" si="14"/>
        <v>次</v>
      </c>
      <c r="P44" t="str">
        <f>"麻醉费"</f>
        <v>麻醉费</v>
      </c>
    </row>
    <row r="45" spans="1:16">
      <c r="A45" t="str">
        <f>"口腔门诊神经阻滞麻醉"</f>
        <v>口腔门诊神经阻滞麻醉</v>
      </c>
      <c r="B45" t="str">
        <f>"013301000030000-2"</f>
        <v>013301000030000-2</v>
      </c>
      <c r="C45" t="str">
        <f>"麻醉"</f>
        <v>麻醉</v>
      </c>
      <c r="D45" t="str">
        <f>"013301000030000"</f>
        <v>013301000030000</v>
      </c>
      <c r="G45">
        <v>36</v>
      </c>
      <c r="I45" t="str">
        <f t="shared" si="17"/>
        <v>次</v>
      </c>
      <c r="K45" t="str">
        <f>"KQMZSJZZMZ"</f>
        <v>KQMZSJZZMZ</v>
      </c>
      <c r="L45" t="str">
        <f>"KEUYPXBIYS"</f>
        <v>KEUYPXBIYS</v>
      </c>
      <c r="M45">
        <v>36</v>
      </c>
      <c r="O45" t="str">
        <f t="shared" si="14"/>
        <v>次</v>
      </c>
      <c r="P45" t="str">
        <f>"麻醉费"</f>
        <v>麻醉费</v>
      </c>
    </row>
    <row r="46" spans="1:16">
      <c r="A46" t="str">
        <f>"骨伤制动外固定费（小）"</f>
        <v>骨伤制动外固定费（小）</v>
      </c>
      <c r="B46" t="str">
        <f>"013315000010000"</f>
        <v>013315000010000</v>
      </c>
      <c r="C46" t="str">
        <f t="shared" ref="C46:C89" si="18">"治疗"</f>
        <v>治疗</v>
      </c>
      <c r="D46" t="str">
        <f>"013315000010000"</f>
        <v>013315000010000</v>
      </c>
      <c r="G46">
        <v>49</v>
      </c>
      <c r="K46" t="str">
        <f>"GSZDWGDFX"</f>
        <v>GSZDWGDFX</v>
      </c>
      <c r="L46" t="str">
        <f>"MWRFQLPXI"</f>
        <v>MWRFQLPXI</v>
      </c>
      <c r="M46">
        <v>54</v>
      </c>
      <c r="O46" t="str">
        <f t="shared" ref="O46:O48" si="19">"个"</f>
        <v>个</v>
      </c>
      <c r="P46" t="str">
        <f t="shared" ref="P46:P89" si="20">"治疗费"</f>
        <v>治疗费</v>
      </c>
    </row>
    <row r="47" spans="1:16">
      <c r="A47" t="str">
        <f>"骨伤制动外固定费（中）"</f>
        <v>骨伤制动外固定费（中）</v>
      </c>
      <c r="B47" t="str">
        <f>"013315000020000"</f>
        <v>013315000020000</v>
      </c>
      <c r="C47" t="str">
        <f t="shared" si="18"/>
        <v>治疗</v>
      </c>
      <c r="D47" t="str">
        <f>"013315000020000"</f>
        <v>013315000020000</v>
      </c>
      <c r="G47">
        <v>134</v>
      </c>
      <c r="K47" t="str">
        <f>"GSZDWGDFZ"</f>
        <v>GSZDWGDFZ</v>
      </c>
      <c r="L47" t="str">
        <f>"MWRFQLPXK"</f>
        <v>MWRFQLPXK</v>
      </c>
      <c r="M47">
        <v>149</v>
      </c>
      <c r="O47" t="str">
        <f t="shared" si="19"/>
        <v>个</v>
      </c>
      <c r="P47" t="str">
        <f t="shared" si="20"/>
        <v>治疗费</v>
      </c>
    </row>
    <row r="48" spans="1:16">
      <c r="A48" t="str">
        <f>"骨伤制动外固定费（大）"</f>
        <v>骨伤制动外固定费（大）</v>
      </c>
      <c r="B48" t="str">
        <f>"013315000030000"</f>
        <v>013315000030000</v>
      </c>
      <c r="C48" t="str">
        <f t="shared" si="18"/>
        <v>治疗</v>
      </c>
      <c r="D48" t="str">
        <f>"013315000030000"</f>
        <v>013315000030000</v>
      </c>
      <c r="G48">
        <v>183</v>
      </c>
      <c r="K48" t="str">
        <f>"GSZDWGDFD"</f>
        <v>GSZDWGDFD</v>
      </c>
      <c r="L48" t="str">
        <f>"MWRFQLPXD"</f>
        <v>MWRFQLPXD</v>
      </c>
      <c r="M48">
        <v>203</v>
      </c>
      <c r="O48" t="str">
        <f t="shared" si="19"/>
        <v>个</v>
      </c>
      <c r="P48" t="str">
        <f t="shared" si="20"/>
        <v>治疗费</v>
      </c>
    </row>
    <row r="49" spans="1:16">
      <c r="A49" t="str">
        <f>"中药贴敷"</f>
        <v>中药贴敷</v>
      </c>
      <c r="B49" t="str">
        <f>"014100000010000"</f>
        <v>014100000010000</v>
      </c>
      <c r="C49" t="str">
        <f t="shared" si="18"/>
        <v>治疗</v>
      </c>
      <c r="D49" t="str">
        <f>"014100000010000"</f>
        <v>014100000010000</v>
      </c>
      <c r="G49">
        <v>53</v>
      </c>
      <c r="I49" t="str">
        <f t="shared" ref="I49:I91" si="21">"次"</f>
        <v>次</v>
      </c>
      <c r="K49" t="str">
        <f>"ZYTF"</f>
        <v>ZYTF</v>
      </c>
      <c r="L49" t="str">
        <f>"KAMG"</f>
        <v>KAMG</v>
      </c>
      <c r="M49">
        <v>53</v>
      </c>
      <c r="N49" t="str">
        <f>"014100000010000"</f>
        <v>014100000010000</v>
      </c>
      <c r="O49" t="str">
        <f t="shared" ref="O49:O52" si="22">"次"</f>
        <v>次</v>
      </c>
      <c r="P49" t="str">
        <f t="shared" si="20"/>
        <v>治疗费</v>
      </c>
    </row>
    <row r="50" spans="1:16">
      <c r="A50" t="str">
        <f>"中医熏洗"</f>
        <v>中医熏洗</v>
      </c>
      <c r="B50" t="str">
        <f>"014100000080000"</f>
        <v>014100000080000</v>
      </c>
      <c r="C50" t="str">
        <f t="shared" si="18"/>
        <v>治疗</v>
      </c>
      <c r="D50" t="str">
        <f>"014100000080000"</f>
        <v>014100000080000</v>
      </c>
      <c r="G50">
        <v>43</v>
      </c>
      <c r="I50" t="str">
        <f t="shared" si="21"/>
        <v>次</v>
      </c>
      <c r="K50" t="str">
        <f>"ZYXX"</f>
        <v>ZYXX</v>
      </c>
      <c r="L50" t="str">
        <f>"KATI"</f>
        <v>KATI</v>
      </c>
      <c r="M50">
        <v>43</v>
      </c>
      <c r="N50" t="str">
        <f>"014100000080000"</f>
        <v>014100000080000</v>
      </c>
      <c r="O50" t="str">
        <f t="shared" si="22"/>
        <v>次</v>
      </c>
      <c r="P50" t="str">
        <f t="shared" si="20"/>
        <v>治疗费</v>
      </c>
    </row>
    <row r="51" spans="1:16">
      <c r="A51" t="str">
        <f>"中医挑治"</f>
        <v>中医挑治</v>
      </c>
      <c r="B51" t="str">
        <f>"014100000130000"</f>
        <v>014100000130000</v>
      </c>
      <c r="C51" t="str">
        <f t="shared" si="18"/>
        <v>治疗</v>
      </c>
      <c r="D51" t="str">
        <f>"014100000130000"</f>
        <v>014100000130000</v>
      </c>
      <c r="G51">
        <v>25</v>
      </c>
      <c r="I51" t="str">
        <f t="shared" si="21"/>
        <v>次</v>
      </c>
      <c r="K51" t="str">
        <f>"ZYTZ"</f>
        <v>ZYTZ</v>
      </c>
      <c r="L51" t="str">
        <f>"KARI"</f>
        <v>KARI</v>
      </c>
      <c r="M51">
        <v>25</v>
      </c>
      <c r="N51" t="str">
        <f>"014100000130000"</f>
        <v>014100000130000</v>
      </c>
      <c r="O51" t="str">
        <f>"挑治部位"</f>
        <v>挑治部位</v>
      </c>
      <c r="P51" t="str">
        <f t="shared" si="20"/>
        <v>治疗费</v>
      </c>
    </row>
    <row r="52" spans="1:16">
      <c r="A52" t="str">
        <f>"中医穴位放血治疗"</f>
        <v>中医穴位放血治疗</v>
      </c>
      <c r="B52" t="str">
        <f>"014100000150000"</f>
        <v>014100000150000</v>
      </c>
      <c r="C52" t="str">
        <f t="shared" si="18"/>
        <v>治疗</v>
      </c>
      <c r="D52" t="str">
        <f>"014100000150000"</f>
        <v>014100000150000</v>
      </c>
      <c r="G52">
        <v>56</v>
      </c>
      <c r="I52" t="str">
        <f t="shared" si="21"/>
        <v>次</v>
      </c>
      <c r="K52" t="str">
        <f>"ZYXWFXZL"</f>
        <v>ZYXWFXZL</v>
      </c>
      <c r="L52" t="str">
        <f>"KAPWYTIU"</f>
        <v>KAPWYTIU</v>
      </c>
      <c r="M52">
        <v>56</v>
      </c>
      <c r="N52" t="str">
        <f>"014100000150000"</f>
        <v>014100000150000</v>
      </c>
      <c r="O52" t="str">
        <f t="shared" si="22"/>
        <v>次</v>
      </c>
      <c r="P52" t="str">
        <f t="shared" si="20"/>
        <v>治疗费</v>
      </c>
    </row>
    <row r="53" spans="1:16">
      <c r="A53" t="str">
        <f>"中医穴位放血治疗-甲床放血（加收）"</f>
        <v>中医穴位放血治疗-甲床放血（加收）</v>
      </c>
      <c r="B53" t="str">
        <f>"014100000150001"</f>
        <v>014100000150001</v>
      </c>
      <c r="C53" t="str">
        <f t="shared" si="18"/>
        <v>治疗</v>
      </c>
      <c r="D53" t="str">
        <f>"014100000150001"</f>
        <v>014100000150001</v>
      </c>
      <c r="G53">
        <v>5.6</v>
      </c>
      <c r="I53" t="str">
        <f t="shared" si="21"/>
        <v>次</v>
      </c>
      <c r="K53" t="str">
        <f>"ZYXWFXZLJCFXJS"</f>
        <v>ZYXWFXZLJCFXJS</v>
      </c>
      <c r="L53" t="str">
        <f>"KAPWYTIULYYTLN"</f>
        <v>KAPWYTIULYYTLN</v>
      </c>
      <c r="M53">
        <v>5.6</v>
      </c>
      <c r="N53" t="str">
        <f>"014100000150001"</f>
        <v>014100000150001</v>
      </c>
      <c r="O53" t="str">
        <f>"每甲"</f>
        <v>每甲</v>
      </c>
      <c r="P53" t="str">
        <f t="shared" si="20"/>
        <v>治疗费</v>
      </c>
    </row>
    <row r="54" spans="1:16">
      <c r="A54" t="str">
        <f>"中医穴位放血治疗-刺络放血（加收）"</f>
        <v>中医穴位放血治疗-刺络放血（加收）</v>
      </c>
      <c r="B54" t="str">
        <f>"014100000150002"</f>
        <v>014100000150002</v>
      </c>
      <c r="C54" t="str">
        <f t="shared" si="18"/>
        <v>治疗</v>
      </c>
      <c r="D54" t="str">
        <f>"014100000150002"</f>
        <v>014100000150002</v>
      </c>
      <c r="G54">
        <v>5.6</v>
      </c>
      <c r="I54" t="str">
        <f t="shared" si="21"/>
        <v>次</v>
      </c>
      <c r="K54" t="str">
        <f>"ZYXWFXZLCLFXJS"</f>
        <v>ZYXWFXZLCLFXJS</v>
      </c>
      <c r="L54" t="str">
        <f>"KAPWYTIUGXYTLN"</f>
        <v>KAPWYTIUGXYTLN</v>
      </c>
      <c r="M54">
        <v>5.6</v>
      </c>
      <c r="N54" t="str">
        <f>"014100000150002"</f>
        <v>014100000150002</v>
      </c>
      <c r="O54" t="str">
        <f>"次"</f>
        <v>次</v>
      </c>
      <c r="P54" t="str">
        <f t="shared" si="20"/>
        <v>治疗费</v>
      </c>
    </row>
    <row r="55" spans="1:16">
      <c r="A55" t="str">
        <f>"中医刮痧"</f>
        <v>中医刮痧</v>
      </c>
      <c r="B55" t="str">
        <f>"014100000170000"</f>
        <v>014100000170000</v>
      </c>
      <c r="C55" t="str">
        <f t="shared" si="18"/>
        <v>治疗</v>
      </c>
      <c r="D55" t="str">
        <f>"014100000170000"</f>
        <v>014100000170000</v>
      </c>
      <c r="G55">
        <v>79</v>
      </c>
      <c r="I55" t="str">
        <f t="shared" si="21"/>
        <v>次</v>
      </c>
      <c r="K55" t="str">
        <f>"ZYG"</f>
        <v>ZYG</v>
      </c>
      <c r="L55" t="str">
        <f>"KATU"</f>
        <v>KATU</v>
      </c>
      <c r="M55">
        <v>79</v>
      </c>
      <c r="N55" t="str">
        <f>"014100000170000"</f>
        <v>014100000170000</v>
      </c>
      <c r="O55" t="str">
        <f>"次"</f>
        <v>次</v>
      </c>
      <c r="P55" t="str">
        <f t="shared" si="20"/>
        <v>治疗费</v>
      </c>
    </row>
    <row r="56" spans="1:16">
      <c r="A56" t="str">
        <f>"常规针法"</f>
        <v>常规针法</v>
      </c>
      <c r="B56" t="str">
        <f>"014200000010000"</f>
        <v>014200000010000</v>
      </c>
      <c r="C56" t="str">
        <f t="shared" si="18"/>
        <v>治疗</v>
      </c>
      <c r="D56" t="str">
        <f>"014200000010000"</f>
        <v>014200000010000</v>
      </c>
      <c r="G56">
        <v>84</v>
      </c>
      <c r="I56" t="str">
        <f t="shared" si="21"/>
        <v>次</v>
      </c>
      <c r="K56" t="str">
        <f>"CGZF"</f>
        <v>CGZF</v>
      </c>
      <c r="L56" t="str">
        <f>"IFQI"</f>
        <v>IFQI</v>
      </c>
      <c r="M56">
        <v>84</v>
      </c>
      <c r="O56" t="str">
        <f t="shared" ref="O56:O58" si="23">"次 . 日"</f>
        <v>次 . 日</v>
      </c>
      <c r="P56" t="str">
        <f t="shared" si="20"/>
        <v>治疗费</v>
      </c>
    </row>
    <row r="57" spans="1:16">
      <c r="A57" t="str">
        <f>"特殊针具针法"</f>
        <v>特殊针具针法</v>
      </c>
      <c r="B57" t="str">
        <f>"014200000020000"</f>
        <v>014200000020000</v>
      </c>
      <c r="C57" t="str">
        <f t="shared" si="18"/>
        <v>治疗</v>
      </c>
      <c r="D57" t="str">
        <f>"014200000020000"</f>
        <v>014200000020000</v>
      </c>
      <c r="G57">
        <v>108</v>
      </c>
      <c r="I57" t="str">
        <f t="shared" si="21"/>
        <v>次</v>
      </c>
      <c r="K57" t="str">
        <f>"TSZJZF"</f>
        <v>TSZJZF</v>
      </c>
      <c r="L57" t="str">
        <f>"TGQHQI"</f>
        <v>TGQHQI</v>
      </c>
      <c r="M57">
        <v>108</v>
      </c>
      <c r="O57" t="str">
        <f t="shared" si="23"/>
        <v>次 . 日</v>
      </c>
      <c r="P57" t="str">
        <f t="shared" si="20"/>
        <v>治疗费</v>
      </c>
    </row>
    <row r="58" spans="1:16">
      <c r="A58" t="str">
        <f>"特殊手法针法"</f>
        <v>特殊手法针法</v>
      </c>
      <c r="B58" t="str">
        <f>"014200000030000"</f>
        <v>014200000030000</v>
      </c>
      <c r="C58" t="str">
        <f t="shared" si="18"/>
        <v>治疗</v>
      </c>
      <c r="D58" t="str">
        <f>"014200000030000"</f>
        <v>014200000030000</v>
      </c>
      <c r="G58">
        <v>120</v>
      </c>
      <c r="I58" t="str">
        <f t="shared" si="21"/>
        <v>次</v>
      </c>
      <c r="K58" t="str">
        <f>"TSSFZF"</f>
        <v>TSSFZF</v>
      </c>
      <c r="L58" t="str">
        <f>"TGRIQI"</f>
        <v>TGRIQI</v>
      </c>
      <c r="M58">
        <v>120</v>
      </c>
      <c r="O58" t="str">
        <f t="shared" si="23"/>
        <v>次 . 日</v>
      </c>
      <c r="P58" t="str">
        <f t="shared" si="20"/>
        <v>治疗费</v>
      </c>
    </row>
    <row r="59" spans="1:16">
      <c r="A59" t="str">
        <f>"特殊穴位（部位）针法"</f>
        <v>特殊穴位（部位）针法</v>
      </c>
      <c r="B59" t="str">
        <f>"014200000040000"</f>
        <v>014200000040000</v>
      </c>
      <c r="C59" t="str">
        <f t="shared" si="18"/>
        <v>治疗</v>
      </c>
      <c r="D59" t="str">
        <f>"014200000040000"</f>
        <v>014200000040000</v>
      </c>
      <c r="G59">
        <v>12</v>
      </c>
      <c r="I59" t="str">
        <f t="shared" si="21"/>
        <v>次</v>
      </c>
      <c r="K59" t="str">
        <f>"TSXWBWZF"</f>
        <v>TSXWBWZF</v>
      </c>
      <c r="L59" t="str">
        <f>"TGPWUWQI"</f>
        <v>TGPWUWQI</v>
      </c>
      <c r="M59">
        <v>12</v>
      </c>
      <c r="O59" t="str">
        <f t="shared" ref="O59:O61" si="24">"每个 穴位"</f>
        <v>每个 穴位</v>
      </c>
      <c r="P59" t="str">
        <f t="shared" si="20"/>
        <v>治疗费</v>
      </c>
    </row>
    <row r="60" spans="1:16">
      <c r="A60" t="str">
        <f>"穴位埋入"</f>
        <v>穴位埋入</v>
      </c>
      <c r="B60" t="str">
        <f>"014200000080000"</f>
        <v>014200000080000</v>
      </c>
      <c r="C60" t="str">
        <f t="shared" si="18"/>
        <v>治疗</v>
      </c>
      <c r="D60" t="str">
        <f>"014200000080000"</f>
        <v>014200000080000</v>
      </c>
      <c r="G60">
        <v>25</v>
      </c>
      <c r="I60" t="str">
        <f t="shared" si="21"/>
        <v>次</v>
      </c>
      <c r="K60" t="str">
        <f>"XWMR"</f>
        <v>XWMR</v>
      </c>
      <c r="L60" t="str">
        <f>"PWFT"</f>
        <v>PWFT</v>
      </c>
      <c r="M60">
        <v>25</v>
      </c>
      <c r="O60" t="str">
        <f t="shared" si="24"/>
        <v>每个 穴位</v>
      </c>
      <c r="P60" t="str">
        <f t="shared" si="20"/>
        <v>治疗费</v>
      </c>
    </row>
    <row r="61" spans="1:16">
      <c r="A61" t="str">
        <f>"穴位注射"</f>
        <v>穴位注射</v>
      </c>
      <c r="B61" t="str">
        <f>"014200000090000"</f>
        <v>014200000090000</v>
      </c>
      <c r="C61" t="str">
        <f t="shared" si="18"/>
        <v>治疗</v>
      </c>
      <c r="D61" t="str">
        <f>"014200000090000"</f>
        <v>014200000090000</v>
      </c>
      <c r="G61">
        <v>12</v>
      </c>
      <c r="I61" t="str">
        <f t="shared" si="21"/>
        <v>次</v>
      </c>
      <c r="K61" t="str">
        <f>"XWZS"</f>
        <v>XWZS</v>
      </c>
      <c r="L61" t="str">
        <f>"PWIT"</f>
        <v>PWIT</v>
      </c>
      <c r="M61">
        <v>12</v>
      </c>
      <c r="O61" t="str">
        <f t="shared" si="24"/>
        <v>每个 穴位</v>
      </c>
      <c r="P61" t="str">
        <f t="shared" si="20"/>
        <v>治疗费</v>
      </c>
    </row>
    <row r="62" spans="1:16">
      <c r="A62" t="str">
        <f>"耳穴疗法"</f>
        <v>耳穴疗法</v>
      </c>
      <c r="B62" t="str">
        <f>"014200000100000"</f>
        <v>014200000100000</v>
      </c>
      <c r="C62" t="str">
        <f t="shared" si="18"/>
        <v>治疗</v>
      </c>
      <c r="D62" t="str">
        <f>"014200000100000"</f>
        <v>014200000100000</v>
      </c>
      <c r="G62">
        <v>24</v>
      </c>
      <c r="I62" t="str">
        <f t="shared" si="21"/>
        <v>次</v>
      </c>
      <c r="K62" t="str">
        <f>"EXLF"</f>
        <v>EXLF</v>
      </c>
      <c r="L62" t="str">
        <f>"BPUI"</f>
        <v>BPUI</v>
      </c>
      <c r="M62">
        <v>24</v>
      </c>
      <c r="O62" t="str">
        <f>"单侧"</f>
        <v>单侧</v>
      </c>
      <c r="P62" t="str">
        <f t="shared" si="20"/>
        <v>治疗费</v>
      </c>
    </row>
    <row r="63" spans="1:16">
      <c r="A63" t="str">
        <f>"手法整复术（关节脱位）"</f>
        <v>手法整复术（关节脱位）</v>
      </c>
      <c r="B63" t="str">
        <f>"014300000010000"</f>
        <v>014300000010000</v>
      </c>
      <c r="C63" t="str">
        <f t="shared" si="18"/>
        <v>治疗</v>
      </c>
      <c r="D63" t="str">
        <f>"014300000010000"</f>
        <v>014300000010000</v>
      </c>
      <c r="G63">
        <v>125</v>
      </c>
      <c r="I63" t="str">
        <f t="shared" si="21"/>
        <v>次</v>
      </c>
      <c r="K63" t="str">
        <f>"SFZFSGJTW"</f>
        <v>SFZFSGJTW</v>
      </c>
      <c r="L63" t="str">
        <f>"RIGTSUAEW"</f>
        <v>RIGTSUAEW</v>
      </c>
      <c r="M63">
        <v>140</v>
      </c>
      <c r="O63" t="str">
        <f>"每 关节"</f>
        <v>每 关节</v>
      </c>
      <c r="P63" t="str">
        <f t="shared" si="20"/>
        <v>治疗费</v>
      </c>
    </row>
    <row r="64" spans="1:16">
      <c r="A64" t="str">
        <f>"手法整复术（复杂关节脱位）"</f>
        <v>手法整复术（复杂关节脱位）</v>
      </c>
      <c r="B64" t="str">
        <f>"014300000020000"</f>
        <v>014300000020000</v>
      </c>
      <c r="C64" t="str">
        <f t="shared" si="18"/>
        <v>治疗</v>
      </c>
      <c r="D64" t="str">
        <f>"014300000020000"</f>
        <v>014300000020000</v>
      </c>
      <c r="G64">
        <v>360</v>
      </c>
      <c r="I64" t="str">
        <f t="shared" si="21"/>
        <v>次</v>
      </c>
      <c r="K64" t="str">
        <f>"SFZFSFZGJTW"</f>
        <v>SFZFSFZGJTW</v>
      </c>
      <c r="L64" t="str">
        <f>"RIGTSTVUAEW"</f>
        <v>RIGTSTVUAEW</v>
      </c>
      <c r="M64">
        <v>360</v>
      </c>
      <c r="O64" t="str">
        <f>"每 关节"</f>
        <v>每 关节</v>
      </c>
      <c r="P64" t="str">
        <f t="shared" si="20"/>
        <v>治疗费</v>
      </c>
    </row>
    <row r="65" spans="1:16">
      <c r="A65" t="str">
        <f>"手法整复术（骨伤）"</f>
        <v>手法整复术（骨伤）</v>
      </c>
      <c r="B65" t="str">
        <f>"014300000030000"</f>
        <v>014300000030000</v>
      </c>
      <c r="C65" t="str">
        <f t="shared" si="18"/>
        <v>治疗</v>
      </c>
      <c r="D65" t="str">
        <f>"014300000030000"</f>
        <v>014300000030000</v>
      </c>
      <c r="G65">
        <v>180</v>
      </c>
      <c r="I65" t="str">
        <f t="shared" si="21"/>
        <v>次</v>
      </c>
      <c r="K65" t="str">
        <f>"SFZFSGS"</f>
        <v>SFZFSGS</v>
      </c>
      <c r="L65" t="str">
        <f>"RIGTSMW"</f>
        <v>RIGTSMW</v>
      </c>
      <c r="M65">
        <v>200</v>
      </c>
      <c r="O65" t="str">
        <f>"每部位"</f>
        <v>每部位</v>
      </c>
      <c r="P65" t="str">
        <f t="shared" si="20"/>
        <v>治疗费</v>
      </c>
    </row>
    <row r="66" spans="1:16">
      <c r="A66" t="str">
        <f>"手法挤压术"</f>
        <v>手法挤压术</v>
      </c>
      <c r="B66" t="str">
        <f>"014300000090000"</f>
        <v>014300000090000</v>
      </c>
      <c r="C66" t="str">
        <f t="shared" si="18"/>
        <v>治疗</v>
      </c>
      <c r="D66" t="str">
        <f>"014300000090000"</f>
        <v>014300000090000</v>
      </c>
      <c r="G66">
        <v>110</v>
      </c>
      <c r="I66" t="str">
        <f t="shared" si="21"/>
        <v>次</v>
      </c>
      <c r="K66" t="str">
        <f>"SFJYS"</f>
        <v>SFJYS</v>
      </c>
      <c r="L66" t="str">
        <f>"RIRDS"</f>
        <v>RIRDS</v>
      </c>
      <c r="M66">
        <v>120</v>
      </c>
      <c r="O66" t="str">
        <f t="shared" ref="O66:O79" si="25">"次"</f>
        <v>次</v>
      </c>
      <c r="P66" t="str">
        <f t="shared" si="20"/>
        <v>治疗费</v>
      </c>
    </row>
    <row r="67" spans="1:16">
      <c r="A67" t="str">
        <f>"悬空灸"</f>
        <v>悬空灸</v>
      </c>
      <c r="B67" t="str">
        <f>"014400000010000"</f>
        <v>014400000010000</v>
      </c>
      <c r="C67" t="str">
        <f t="shared" si="18"/>
        <v>治疗</v>
      </c>
      <c r="D67" t="str">
        <f>"014400000010000"</f>
        <v>014400000010000</v>
      </c>
      <c r="G67">
        <v>46</v>
      </c>
      <c r="I67" t="str">
        <f t="shared" si="21"/>
        <v>次</v>
      </c>
      <c r="K67" t="str">
        <f>"XKJ"</f>
        <v>XKJ</v>
      </c>
      <c r="L67" t="str">
        <f>"EPQ"</f>
        <v>EPQ</v>
      </c>
      <c r="M67">
        <v>46</v>
      </c>
      <c r="N67" t="str">
        <f>"014400000010000"</f>
        <v>014400000010000</v>
      </c>
      <c r="O67" t="str">
        <f t="shared" si="25"/>
        <v>次</v>
      </c>
      <c r="P67" t="str">
        <f t="shared" si="20"/>
        <v>治疗费</v>
      </c>
    </row>
    <row r="68" spans="1:16">
      <c r="A68" t="str">
        <f>"直接灸"</f>
        <v>直接灸</v>
      </c>
      <c r="B68" t="str">
        <f>"014400000020000"</f>
        <v>014400000020000</v>
      </c>
      <c r="C68" t="str">
        <f t="shared" si="18"/>
        <v>治疗</v>
      </c>
      <c r="D68" t="str">
        <f>"014400000020000"</f>
        <v>014400000020000</v>
      </c>
      <c r="G68">
        <v>19</v>
      </c>
      <c r="I68" t="str">
        <f t="shared" si="21"/>
        <v>次</v>
      </c>
      <c r="K68" t="str">
        <f>"ZJJ"</f>
        <v>ZJJ</v>
      </c>
      <c r="L68" t="str">
        <f>"FRQ"</f>
        <v>FRQ</v>
      </c>
      <c r="M68">
        <v>19</v>
      </c>
      <c r="N68" t="str">
        <f>"014400000020000"</f>
        <v>014400000020000</v>
      </c>
      <c r="O68" t="str">
        <f t="shared" si="25"/>
        <v>次</v>
      </c>
      <c r="P68" t="str">
        <f t="shared" si="20"/>
        <v>治疗费</v>
      </c>
    </row>
    <row r="69" spans="1:16">
      <c r="A69" t="str">
        <f>"隔物灸"</f>
        <v>隔物灸</v>
      </c>
      <c r="B69" t="str">
        <f>"014400000030000"</f>
        <v>014400000030000</v>
      </c>
      <c r="C69" t="str">
        <f t="shared" si="18"/>
        <v>治疗</v>
      </c>
      <c r="D69" t="str">
        <f>"014400000030000"</f>
        <v>014400000030000</v>
      </c>
      <c r="G69">
        <v>24</v>
      </c>
      <c r="I69" t="str">
        <f t="shared" si="21"/>
        <v>次</v>
      </c>
      <c r="K69" t="str">
        <f>"GWJ"</f>
        <v>GWJ</v>
      </c>
      <c r="L69" t="str">
        <f>"BTQ"</f>
        <v>BTQ</v>
      </c>
      <c r="M69">
        <v>24</v>
      </c>
      <c r="N69" t="str">
        <f>"014400000030000"</f>
        <v>014400000030000</v>
      </c>
      <c r="O69" t="str">
        <f t="shared" si="25"/>
        <v>次</v>
      </c>
      <c r="P69" t="str">
        <f t="shared" si="20"/>
        <v>治疗费</v>
      </c>
    </row>
    <row r="70" spans="1:16">
      <c r="A70" t="str">
        <f>"铺灸"</f>
        <v>铺灸</v>
      </c>
      <c r="B70" t="str">
        <f>"014400000040000"</f>
        <v>014400000040000</v>
      </c>
      <c r="C70" t="str">
        <f t="shared" si="18"/>
        <v>治疗</v>
      </c>
      <c r="D70" t="str">
        <f>"014400000040000"</f>
        <v>014400000040000</v>
      </c>
      <c r="G70">
        <v>120</v>
      </c>
      <c r="I70" t="str">
        <f t="shared" si="21"/>
        <v>次</v>
      </c>
      <c r="K70" t="str">
        <f>"PJ"</f>
        <v>PJ</v>
      </c>
      <c r="L70" t="str">
        <f>"QQ"</f>
        <v>QQ</v>
      </c>
      <c r="M70">
        <v>120</v>
      </c>
      <c r="N70" t="str">
        <f>"014400000040000"</f>
        <v>014400000040000</v>
      </c>
      <c r="O70" t="str">
        <f t="shared" si="25"/>
        <v>次</v>
      </c>
      <c r="P70" t="str">
        <f t="shared" si="20"/>
        <v>治疗费</v>
      </c>
    </row>
    <row r="71" spans="1:16">
      <c r="A71" t="str">
        <f>"铺灸-（督灸（火龙灸））加收"</f>
        <v>铺灸-（督灸（火龙灸））加收</v>
      </c>
      <c r="B71" t="str">
        <f>"014400000040002"</f>
        <v>014400000040002</v>
      </c>
      <c r="C71" t="str">
        <f t="shared" si="18"/>
        <v>治疗</v>
      </c>
      <c r="D71" t="str">
        <f>"014400000040002"</f>
        <v>014400000040002</v>
      </c>
      <c r="G71">
        <v>24</v>
      </c>
      <c r="I71" t="str">
        <f t="shared" si="21"/>
        <v>次</v>
      </c>
      <c r="K71" t="str">
        <f>"PJDJHLJJS"</f>
        <v>PJDJHLJJS</v>
      </c>
      <c r="L71" t="str">
        <f>"QQHQODQLN"</f>
        <v>QQHQODQLN</v>
      </c>
      <c r="M71">
        <v>24</v>
      </c>
      <c r="N71" t="str">
        <f>"014400000040002"</f>
        <v>014400000040002</v>
      </c>
      <c r="O71" t="str">
        <f t="shared" si="25"/>
        <v>次</v>
      </c>
      <c r="P71" t="str">
        <f t="shared" si="20"/>
        <v>治疗费</v>
      </c>
    </row>
    <row r="72" spans="1:16">
      <c r="A72" t="str">
        <f>"中医拔罐"</f>
        <v>中医拔罐</v>
      </c>
      <c r="B72" t="str">
        <f>"014400000050000"</f>
        <v>014400000050000</v>
      </c>
      <c r="C72" t="str">
        <f t="shared" si="18"/>
        <v>治疗</v>
      </c>
      <c r="D72" t="str">
        <f>"014400000050000"</f>
        <v>014400000050000</v>
      </c>
      <c r="G72">
        <v>42</v>
      </c>
      <c r="I72" t="str">
        <f t="shared" si="21"/>
        <v>次</v>
      </c>
      <c r="K72" t="str">
        <f>"ZYBG"</f>
        <v>ZYBG</v>
      </c>
      <c r="L72" t="str">
        <f>"KARR"</f>
        <v>KARR</v>
      </c>
      <c r="M72">
        <v>42</v>
      </c>
      <c r="N72" t="str">
        <f>"014400000050000"</f>
        <v>014400000050000</v>
      </c>
      <c r="O72" t="str">
        <f t="shared" si="25"/>
        <v>次</v>
      </c>
      <c r="P72" t="str">
        <f t="shared" si="20"/>
        <v>治疗费</v>
      </c>
    </row>
    <row r="73" spans="1:16">
      <c r="A73" t="str">
        <f>"中医拔罐-药物罐（加收）"</f>
        <v>中医拔罐-药物罐（加收）</v>
      </c>
      <c r="B73" t="str">
        <f>"014400000050001"</f>
        <v>014400000050001</v>
      </c>
      <c r="C73" t="str">
        <f t="shared" si="18"/>
        <v>治疗</v>
      </c>
      <c r="D73" t="str">
        <f>"014400000050001"</f>
        <v>014400000050001</v>
      </c>
      <c r="G73">
        <v>4.2</v>
      </c>
      <c r="I73" t="str">
        <f t="shared" si="21"/>
        <v>次</v>
      </c>
      <c r="K73" t="str">
        <f>"ZYBGYWGJS"</f>
        <v>ZYBGYWGJS</v>
      </c>
      <c r="L73" t="str">
        <f>"KARRATRLN"</f>
        <v>KARRATRLN</v>
      </c>
      <c r="M73">
        <v>4.2</v>
      </c>
      <c r="N73" t="str">
        <f>"014400000050001"</f>
        <v>014400000050001</v>
      </c>
      <c r="O73" t="str">
        <f t="shared" si="25"/>
        <v>次</v>
      </c>
      <c r="P73" t="str">
        <f t="shared" si="20"/>
        <v>治疗费</v>
      </c>
    </row>
    <row r="74" spans="1:16">
      <c r="A74" t="str">
        <f>"中医闪罐"</f>
        <v>中医闪罐</v>
      </c>
      <c r="B74" t="str">
        <f>"014400000070000"</f>
        <v>014400000070000</v>
      </c>
      <c r="C74" t="str">
        <f t="shared" si="18"/>
        <v>治疗</v>
      </c>
      <c r="D74" t="str">
        <f>"014400000070000"</f>
        <v>014400000070000</v>
      </c>
      <c r="G74">
        <v>63</v>
      </c>
      <c r="I74" t="str">
        <f t="shared" si="21"/>
        <v>次</v>
      </c>
      <c r="K74" t="str">
        <f>"ZYSG"</f>
        <v>ZYSG</v>
      </c>
      <c r="L74" t="str">
        <f>"KAUR"</f>
        <v>KAUR</v>
      </c>
      <c r="M74">
        <v>63</v>
      </c>
      <c r="N74" t="str">
        <f>"014400000070000"</f>
        <v>014400000070000</v>
      </c>
      <c r="O74" t="str">
        <f t="shared" si="25"/>
        <v>次</v>
      </c>
      <c r="P74" t="str">
        <f t="shared" si="20"/>
        <v>治疗费</v>
      </c>
    </row>
    <row r="75" spans="1:16">
      <c r="A75" t="str">
        <f>"头面部疾病推拿"</f>
        <v>头面部疾病推拿</v>
      </c>
      <c r="B75" t="str">
        <f>"014500000010000"</f>
        <v>014500000010000</v>
      </c>
      <c r="C75" t="str">
        <f t="shared" si="18"/>
        <v>治疗</v>
      </c>
      <c r="D75" t="str">
        <f>"014500000010000"</f>
        <v>014500000010000</v>
      </c>
      <c r="G75">
        <v>55</v>
      </c>
      <c r="I75" t="str">
        <f t="shared" si="21"/>
        <v>次</v>
      </c>
      <c r="K75" t="str">
        <f>"TMBJBTN"</f>
        <v>TMBJBTN</v>
      </c>
      <c r="L75" t="str">
        <f>"UDUUURW"</f>
        <v>UDUUURW</v>
      </c>
      <c r="M75">
        <v>55</v>
      </c>
      <c r="N75" t="str">
        <f>"014500000010000"</f>
        <v>014500000010000</v>
      </c>
      <c r="O75" t="str">
        <f t="shared" si="25"/>
        <v>次</v>
      </c>
      <c r="P75" t="str">
        <f t="shared" si="20"/>
        <v>治疗费</v>
      </c>
    </row>
    <row r="76" spans="1:16">
      <c r="A76" t="str">
        <f>"头面部疾病推拿(6周岁及以下儿童加收)"</f>
        <v>头面部疾病推拿(6周岁及以下儿童加收)</v>
      </c>
      <c r="B76" t="str">
        <f>"014500000010000-1"</f>
        <v>014500000010000-1</v>
      </c>
      <c r="C76" t="str">
        <f t="shared" si="18"/>
        <v>治疗</v>
      </c>
      <c r="D76" t="str">
        <f>"014500000010000"</f>
        <v>014500000010000</v>
      </c>
      <c r="G76">
        <v>16.5</v>
      </c>
      <c r="I76" t="str">
        <f t="shared" si="21"/>
        <v>次</v>
      </c>
      <c r="K76" t="str">
        <f>"TMBJBTN6ZSJYXETJ"</f>
        <v>TMBJBTN6ZSJYXETJ</v>
      </c>
      <c r="L76" t="str">
        <f>"UDUUURW6MMECGQUL"</f>
        <v>UDUUURW6MMECGQUL</v>
      </c>
      <c r="M76">
        <v>16.5</v>
      </c>
      <c r="O76" t="str">
        <f t="shared" si="25"/>
        <v>次</v>
      </c>
      <c r="P76" t="str">
        <f t="shared" si="20"/>
        <v>治疗费</v>
      </c>
    </row>
    <row r="77" spans="1:16">
      <c r="A77" t="str">
        <f>"颈部疾病推拿"</f>
        <v>颈部疾病推拿</v>
      </c>
      <c r="B77" t="str">
        <f>"014500000020000"</f>
        <v>014500000020000</v>
      </c>
      <c r="C77" t="str">
        <f t="shared" si="18"/>
        <v>治疗</v>
      </c>
      <c r="D77" t="str">
        <f>"014500000020000"</f>
        <v>014500000020000</v>
      </c>
      <c r="G77">
        <v>54</v>
      </c>
      <c r="I77" t="str">
        <f t="shared" si="21"/>
        <v>次</v>
      </c>
      <c r="K77" t="str">
        <f>"JBJBTN"</f>
        <v>JBJBTN</v>
      </c>
      <c r="L77" t="str">
        <f>"CUUURW"</f>
        <v>CUUURW</v>
      </c>
      <c r="M77">
        <v>54</v>
      </c>
      <c r="N77" t="str">
        <f>"014500000020000"</f>
        <v>014500000020000</v>
      </c>
      <c r="O77" t="str">
        <f t="shared" si="25"/>
        <v>次</v>
      </c>
      <c r="P77" t="str">
        <f t="shared" si="20"/>
        <v>治疗费</v>
      </c>
    </row>
    <row r="78" spans="1:16">
      <c r="A78" t="str">
        <f>"脊柱部位疾病推拿"</f>
        <v>脊柱部位疾病推拿</v>
      </c>
      <c r="B78" t="str">
        <f>"014500000030000"</f>
        <v>014500000030000</v>
      </c>
      <c r="C78" t="str">
        <f t="shared" si="18"/>
        <v>治疗</v>
      </c>
      <c r="D78" t="str">
        <f>"014500000030000"</f>
        <v>014500000030000</v>
      </c>
      <c r="G78">
        <v>42</v>
      </c>
      <c r="I78" t="str">
        <f t="shared" si="21"/>
        <v>次</v>
      </c>
      <c r="K78" t="str">
        <f>"JZBWJBTN"</f>
        <v>JZBWJBTN</v>
      </c>
      <c r="L78" t="str">
        <f>"ISUWUURW"</f>
        <v>ISUWUURW</v>
      </c>
      <c r="M78">
        <v>42</v>
      </c>
      <c r="N78" t="str">
        <f>"014500000030000"</f>
        <v>014500000030000</v>
      </c>
      <c r="O78" t="str">
        <f t="shared" si="25"/>
        <v>次</v>
      </c>
      <c r="P78" t="str">
        <f t="shared" si="20"/>
        <v>治疗费</v>
      </c>
    </row>
    <row r="79" spans="1:16">
      <c r="A79" t="str">
        <f>"脊柱部位疾病推按-寰枢关节推拿（加收）"</f>
        <v>脊柱部位疾病推按-寰枢关节推拿（加收）</v>
      </c>
      <c r="B79" t="str">
        <f>"014500000030001"</f>
        <v>014500000030001</v>
      </c>
      <c r="C79" t="str">
        <f t="shared" si="18"/>
        <v>治疗</v>
      </c>
      <c r="D79" t="str">
        <f>"014500000030001"</f>
        <v>014500000030001</v>
      </c>
      <c r="G79">
        <v>12.6</v>
      </c>
      <c r="I79" t="str">
        <f t="shared" si="21"/>
        <v>次</v>
      </c>
      <c r="K79" t="str">
        <f>"JZBWJBTASGJTNJS"</f>
        <v>JZBWJBTASGJTNJS</v>
      </c>
      <c r="L79" t="str">
        <f>"ISUWUURRPSUARWLN"</f>
        <v>ISUWUURRPSUARWLN</v>
      </c>
      <c r="M79">
        <v>12.6</v>
      </c>
      <c r="N79" t="str">
        <f>"014500000030001"</f>
        <v>014500000030001</v>
      </c>
      <c r="O79" t="str">
        <f t="shared" si="25"/>
        <v>次</v>
      </c>
      <c r="P79" t="str">
        <f t="shared" si="20"/>
        <v>治疗费</v>
      </c>
    </row>
    <row r="80" spans="1:16">
      <c r="A80" t="str">
        <f>"肩部疾病推拿"</f>
        <v>肩部疾病推拿</v>
      </c>
      <c r="B80" t="str">
        <f>"014500000040000"</f>
        <v>014500000040000</v>
      </c>
      <c r="C80" t="str">
        <f t="shared" si="18"/>
        <v>治疗</v>
      </c>
      <c r="D80" t="str">
        <f>"014500000040000"</f>
        <v>014500000040000</v>
      </c>
      <c r="G80">
        <v>42</v>
      </c>
      <c r="I80" t="str">
        <f t="shared" si="21"/>
        <v>次</v>
      </c>
      <c r="K80" t="str">
        <f>"JBJBTN"</f>
        <v>JBJBTN</v>
      </c>
      <c r="L80" t="str">
        <f>"YUUURW"</f>
        <v>YUUURW</v>
      </c>
      <c r="M80">
        <v>42</v>
      </c>
      <c r="N80" t="str">
        <f>"014500000040000"</f>
        <v>014500000040000</v>
      </c>
      <c r="O80" t="str">
        <f>"单侧"</f>
        <v>单侧</v>
      </c>
      <c r="P80" t="str">
        <f t="shared" si="20"/>
        <v>治疗费</v>
      </c>
    </row>
    <row r="81" spans="1:16">
      <c r="A81" t="str">
        <f>"背部疾病推拿"</f>
        <v>背部疾病推拿</v>
      </c>
      <c r="B81" t="str">
        <f>"014500000050000"</f>
        <v>014500000050000</v>
      </c>
      <c r="C81" t="str">
        <f t="shared" si="18"/>
        <v>治疗</v>
      </c>
      <c r="D81" t="str">
        <f>"014500000050000"</f>
        <v>014500000050000</v>
      </c>
      <c r="G81">
        <v>81</v>
      </c>
      <c r="I81" t="str">
        <f t="shared" si="21"/>
        <v>次</v>
      </c>
      <c r="K81" t="str">
        <f>"BBJBTN"</f>
        <v>BBJBTN</v>
      </c>
      <c r="L81" t="str">
        <f>"UUUURW"</f>
        <v>UUUURW</v>
      </c>
      <c r="M81">
        <v>81</v>
      </c>
      <c r="N81" t="str">
        <f>"014500000050000"</f>
        <v>014500000050000</v>
      </c>
      <c r="O81" t="str">
        <f t="shared" ref="O81:O83" si="26">"次"</f>
        <v>次</v>
      </c>
      <c r="P81" t="str">
        <f t="shared" si="20"/>
        <v>治疗费</v>
      </c>
    </row>
    <row r="82" spans="1:16">
      <c r="A82" t="str">
        <f>"腰部疾病推拿"</f>
        <v>腰部疾病推拿</v>
      </c>
      <c r="B82" t="str">
        <f>"014500000060000"</f>
        <v>014500000060000</v>
      </c>
      <c r="C82" t="str">
        <f t="shared" si="18"/>
        <v>治疗</v>
      </c>
      <c r="D82" t="str">
        <f>"014500000060000"</f>
        <v>014500000060000</v>
      </c>
      <c r="G82">
        <v>81</v>
      </c>
      <c r="I82" t="str">
        <f t="shared" si="21"/>
        <v>次</v>
      </c>
      <c r="K82" t="str">
        <f>"YBJBTN"</f>
        <v>YBJBTN</v>
      </c>
      <c r="L82" t="str">
        <f>"EUUURW"</f>
        <v>EUUURW</v>
      </c>
      <c r="M82">
        <v>81</v>
      </c>
      <c r="N82" t="str">
        <f>"014500000060000"</f>
        <v>014500000060000</v>
      </c>
      <c r="O82" t="str">
        <f t="shared" si="26"/>
        <v>次</v>
      </c>
      <c r="P82" t="str">
        <f t="shared" si="20"/>
        <v>治疗费</v>
      </c>
    </row>
    <row r="83" spans="1:16">
      <c r="A83" t="str">
        <f>"髋骶部疾病推拿"</f>
        <v>髋骶部疾病推拿</v>
      </c>
      <c r="B83" t="str">
        <f>"014500000070000"</f>
        <v>014500000070000</v>
      </c>
      <c r="C83" t="str">
        <f t="shared" si="18"/>
        <v>治疗</v>
      </c>
      <c r="D83" t="str">
        <f>"014500000070000"</f>
        <v>014500000070000</v>
      </c>
      <c r="G83">
        <v>81</v>
      </c>
      <c r="I83" t="str">
        <f t="shared" si="21"/>
        <v>次</v>
      </c>
      <c r="K83" t="str">
        <f>"BJBTN"</f>
        <v>BJBTN</v>
      </c>
      <c r="L83" t="str">
        <f>"MMUUURW"</f>
        <v>MMUUURW</v>
      </c>
      <c r="M83">
        <v>81</v>
      </c>
      <c r="N83" t="str">
        <f>"014500000060000"</f>
        <v>014500000060000</v>
      </c>
      <c r="O83" t="str">
        <f t="shared" si="26"/>
        <v>次</v>
      </c>
      <c r="P83" t="str">
        <f t="shared" si="20"/>
        <v>治疗费</v>
      </c>
    </row>
    <row r="84" spans="1:16">
      <c r="A84" t="str">
        <f>"四肢部位疾病推拿"</f>
        <v>四肢部位疾病推拿</v>
      </c>
      <c r="B84" t="str">
        <f>"014500000080000"</f>
        <v>014500000080000</v>
      </c>
      <c r="C84" t="str">
        <f t="shared" si="18"/>
        <v>治疗</v>
      </c>
      <c r="D84" t="str">
        <f>"014500000080000"</f>
        <v>014500000080000</v>
      </c>
      <c r="G84">
        <v>42</v>
      </c>
      <c r="I84" t="str">
        <f t="shared" si="21"/>
        <v>次</v>
      </c>
      <c r="K84" t="str">
        <f>"SZBWJBTN"</f>
        <v>SZBWJBTN</v>
      </c>
      <c r="L84" t="str">
        <f>"LEUWUURW"</f>
        <v>LEUWUURW</v>
      </c>
      <c r="M84">
        <v>42</v>
      </c>
      <c r="N84" t="str">
        <f>"014500000080000"</f>
        <v>014500000080000</v>
      </c>
      <c r="O84" t="str">
        <f>"单肢"</f>
        <v>单肢</v>
      </c>
      <c r="P84" t="str">
        <f t="shared" si="20"/>
        <v>治疗费</v>
      </c>
    </row>
    <row r="85" spans="1:16">
      <c r="A85" t="str">
        <f>"脏腑疾病推拿"</f>
        <v>脏腑疾病推拿</v>
      </c>
      <c r="B85" t="str">
        <f>"014500000090000"</f>
        <v>014500000090000</v>
      </c>
      <c r="C85" t="str">
        <f t="shared" si="18"/>
        <v>治疗</v>
      </c>
      <c r="D85" t="str">
        <f>"014500000090000"</f>
        <v>014500000090000</v>
      </c>
      <c r="G85">
        <v>49</v>
      </c>
      <c r="I85" t="str">
        <f t="shared" si="21"/>
        <v>次</v>
      </c>
      <c r="K85" t="str">
        <f>"ZFJBTN"</f>
        <v>ZFJBTN</v>
      </c>
      <c r="L85" t="str">
        <f>"EEUURW"</f>
        <v>EEUURW</v>
      </c>
      <c r="M85">
        <v>49</v>
      </c>
      <c r="N85" t="str">
        <f>"014500000090000"</f>
        <v>014500000090000</v>
      </c>
      <c r="O85" t="str">
        <f t="shared" ref="O85:O89" si="27">"次"</f>
        <v>次</v>
      </c>
      <c r="P85" t="str">
        <f t="shared" si="20"/>
        <v>治疗费</v>
      </c>
    </row>
    <row r="86" spans="1:16">
      <c r="A86" t="str">
        <f>"脏腑疾病推拿(6周岁及以下儿童加收)"</f>
        <v>脏腑疾病推拿(6周岁及以下儿童加收)</v>
      </c>
      <c r="B86" t="str">
        <f>"014500000090000-1"</f>
        <v>014500000090000-1</v>
      </c>
      <c r="C86" t="str">
        <f t="shared" si="18"/>
        <v>治疗</v>
      </c>
      <c r="D86" t="str">
        <f>"014500000090000"</f>
        <v>014500000090000</v>
      </c>
      <c r="G86">
        <v>14.7</v>
      </c>
      <c r="I86" t="str">
        <f t="shared" si="21"/>
        <v>次</v>
      </c>
      <c r="K86" t="str">
        <f>"ZFJBTN6ZSJYXETJS"</f>
        <v>ZFJBTN6ZSJYXETJS</v>
      </c>
      <c r="L86" t="str">
        <f>"EEUURW6MMECGQULN"</f>
        <v>EEUURW6MMECGQULN</v>
      </c>
      <c r="M86">
        <v>14.7</v>
      </c>
      <c r="O86" t="str">
        <f t="shared" si="27"/>
        <v>次</v>
      </c>
      <c r="P86" t="str">
        <f t="shared" si="20"/>
        <v>治疗费</v>
      </c>
    </row>
    <row r="87" spans="1:16">
      <c r="A87" t="str">
        <f>"针刀（钩活）疗法"</f>
        <v>针刀（钩活）疗法</v>
      </c>
      <c r="B87" t="str">
        <f>"014600000010000"</f>
        <v>014600000010000</v>
      </c>
      <c r="C87" t="str">
        <f t="shared" si="18"/>
        <v>治疗</v>
      </c>
      <c r="D87" t="str">
        <f>"014600000010000"</f>
        <v>014600000010000</v>
      </c>
      <c r="G87">
        <v>90</v>
      </c>
      <c r="I87" t="str">
        <f t="shared" si="21"/>
        <v>次</v>
      </c>
      <c r="K87" t="str">
        <f>"ZDGHLF"</f>
        <v>ZDGHLF</v>
      </c>
      <c r="L87" t="str">
        <f>"QVQIUI"</f>
        <v>QVQIUI</v>
      </c>
      <c r="M87">
        <v>94</v>
      </c>
      <c r="O87" t="str">
        <f>"部位"</f>
        <v>部位</v>
      </c>
      <c r="P87" t="str">
        <f t="shared" si="20"/>
        <v>治疗费</v>
      </c>
    </row>
    <row r="88" spans="1:16">
      <c r="A88" t="str">
        <f>"点穴疗法"</f>
        <v>点穴疗法</v>
      </c>
      <c r="B88" t="str">
        <f>"014600000020000"</f>
        <v>014600000020000</v>
      </c>
      <c r="C88" t="str">
        <f t="shared" si="18"/>
        <v>治疗</v>
      </c>
      <c r="D88" t="str">
        <f>"014600000020000"</f>
        <v>014600000020000</v>
      </c>
      <c r="G88">
        <v>20</v>
      </c>
      <c r="I88" t="str">
        <f t="shared" si="21"/>
        <v>次</v>
      </c>
      <c r="K88" t="str">
        <f>"DXLF"</f>
        <v>DXLF</v>
      </c>
      <c r="L88" t="str">
        <f>"HPUI"</f>
        <v>HPUI</v>
      </c>
      <c r="M88">
        <v>22</v>
      </c>
      <c r="O88" t="str">
        <f t="shared" si="27"/>
        <v>次</v>
      </c>
      <c r="P88" t="str">
        <f t="shared" si="20"/>
        <v>治疗费</v>
      </c>
    </row>
    <row r="89" spans="1:16">
      <c r="A89" t="str">
        <f>"足底反射疗法"</f>
        <v>足底反射疗法</v>
      </c>
      <c r="B89" t="str">
        <f>"014600000050000"</f>
        <v>014600000050000</v>
      </c>
      <c r="C89" t="str">
        <f t="shared" si="18"/>
        <v>治疗</v>
      </c>
      <c r="D89" t="str">
        <f>"014600000050000"</f>
        <v>014600000050000</v>
      </c>
      <c r="G89">
        <v>23</v>
      </c>
      <c r="I89" t="str">
        <f t="shared" si="21"/>
        <v>次</v>
      </c>
      <c r="K89" t="str">
        <f>"ZDFSLF"</f>
        <v>ZDFSLF</v>
      </c>
      <c r="L89" t="str">
        <f>"KYRTUI"</f>
        <v>KYRTUI</v>
      </c>
      <c r="M89">
        <v>26</v>
      </c>
      <c r="O89" t="str">
        <f t="shared" si="27"/>
        <v>次</v>
      </c>
      <c r="P89" t="str">
        <f t="shared" si="20"/>
        <v>治疗费</v>
      </c>
    </row>
    <row r="90" spans="1:16">
      <c r="A90" t="str">
        <f>"方便门诊费"</f>
        <v>方便门诊费</v>
      </c>
      <c r="B90">
        <v>110200008</v>
      </c>
      <c r="C90" t="str">
        <f t="shared" ref="C90:C95" si="28">"其他"</f>
        <v>其他</v>
      </c>
      <c r="D90" t="str">
        <f>"001102000010400"</f>
        <v>001102000010400</v>
      </c>
      <c r="G90">
        <v>1</v>
      </c>
      <c r="I90" t="str">
        <f t="shared" si="21"/>
        <v>次</v>
      </c>
      <c r="K90" t="str">
        <f>"FBMZF"</f>
        <v>FBMZF</v>
      </c>
      <c r="L90" t="str">
        <f>"YWUYX"</f>
        <v>YWUYX</v>
      </c>
      <c r="M90">
        <v>1</v>
      </c>
      <c r="N90">
        <v>110200008</v>
      </c>
      <c r="O90" t="str">
        <f>"每次"</f>
        <v>每次</v>
      </c>
      <c r="P90" t="str">
        <f>"诊查费"</f>
        <v>诊查费</v>
      </c>
    </row>
    <row r="91" spans="1:16">
      <c r="A91" t="str">
        <f>"院前急救费"</f>
        <v>院前急救费</v>
      </c>
      <c r="B91">
        <v>110400001</v>
      </c>
      <c r="C91" t="str">
        <f t="shared" si="28"/>
        <v>其他</v>
      </c>
      <c r="D91" t="str">
        <f>"001104000010000"</f>
        <v>001104000010000</v>
      </c>
      <c r="G91">
        <v>46</v>
      </c>
      <c r="I91" t="str">
        <f t="shared" si="21"/>
        <v>次</v>
      </c>
      <c r="K91" t="str">
        <f>"YQJJF"</f>
        <v>YQJJF</v>
      </c>
      <c r="L91" t="str">
        <f>"BUQFX"</f>
        <v>BUQFX</v>
      </c>
      <c r="M91">
        <v>46</v>
      </c>
      <c r="N91">
        <v>110400001</v>
      </c>
      <c r="O91" t="str">
        <f>"次"</f>
        <v>次</v>
      </c>
      <c r="P91" t="str">
        <f>"治疗费"</f>
        <v>治疗费</v>
      </c>
    </row>
    <row r="92" spans="1:16">
      <c r="A92" t="str">
        <f>"体检费"</f>
        <v>体检费</v>
      </c>
      <c r="B92">
        <v>110500001</v>
      </c>
      <c r="C92" t="str">
        <f t="shared" si="28"/>
        <v>其他</v>
      </c>
      <c r="D92" t="str">
        <f>"001105000010000"</f>
        <v>001105000010000</v>
      </c>
      <c r="G92">
        <v>15</v>
      </c>
      <c r="I92" t="str">
        <f>"项"</f>
        <v>项</v>
      </c>
      <c r="K92" t="str">
        <f>"TJF"</f>
        <v>TJF</v>
      </c>
      <c r="L92" t="str">
        <f>"WSX"</f>
        <v>WSX</v>
      </c>
      <c r="M92">
        <v>15</v>
      </c>
      <c r="N92">
        <v>110500001</v>
      </c>
      <c r="O92" t="str">
        <f>"每次"</f>
        <v>每次</v>
      </c>
      <c r="P92" t="str">
        <f t="shared" ref="P92:P94" si="29">"体检费"</f>
        <v>体检费</v>
      </c>
    </row>
    <row r="93" spans="1:16">
      <c r="A93" t="str">
        <f>"驾驶员体检"</f>
        <v>驾驶员体检</v>
      </c>
      <c r="B93" t="str">
        <f>"110500001-a"</f>
        <v>110500001-a</v>
      </c>
      <c r="C93" t="str">
        <f t="shared" si="28"/>
        <v>其他</v>
      </c>
      <c r="G93">
        <v>8</v>
      </c>
      <c r="I93" t="str">
        <f>"次"</f>
        <v>次</v>
      </c>
      <c r="K93" t="str">
        <f>"JSYTJ"</f>
        <v>JSYTJ</v>
      </c>
      <c r="L93" t="str">
        <f>"LCKWS"</f>
        <v>LCKWS</v>
      </c>
      <c r="M93">
        <v>8</v>
      </c>
      <c r="N93" t="str">
        <f>"110500001-a"</f>
        <v>110500001-a</v>
      </c>
      <c r="O93" t="str">
        <f>"次"</f>
        <v>次</v>
      </c>
      <c r="P93" t="str">
        <f t="shared" si="29"/>
        <v>体检费</v>
      </c>
    </row>
    <row r="94" spans="1:16">
      <c r="A94" t="str">
        <f>"体检费（相关行业从业人员体检）"</f>
        <v>体检费（相关行业从业人员体检）</v>
      </c>
      <c r="B94" t="str">
        <f>"110500001-d"</f>
        <v>110500001-d</v>
      </c>
      <c r="C94" t="str">
        <f t="shared" si="28"/>
        <v>其他</v>
      </c>
      <c r="G94">
        <v>70</v>
      </c>
      <c r="I94" t="str">
        <f>"人"</f>
        <v>人</v>
      </c>
      <c r="K94" t="str">
        <f>"TJFXGXYCYRYTJ"</f>
        <v>TJFXGXYCYRYTJ</v>
      </c>
      <c r="L94" t="str">
        <f>"WSXSUTOWOWKWS"</f>
        <v>WSXSUTOWOWKWS</v>
      </c>
      <c r="M94">
        <v>70</v>
      </c>
      <c r="N94" t="str">
        <f>"110500001-d"</f>
        <v>110500001-d</v>
      </c>
      <c r="O94" t="str">
        <f>"人"</f>
        <v>人</v>
      </c>
      <c r="P94" t="str">
        <f t="shared" si="29"/>
        <v>体检费</v>
      </c>
    </row>
    <row r="95" spans="1:16">
      <c r="A95" t="str">
        <f>"急诊观察床位费"</f>
        <v>急诊观察床位费</v>
      </c>
      <c r="B95">
        <v>110900005</v>
      </c>
      <c r="C95" t="str">
        <f t="shared" si="28"/>
        <v>其他</v>
      </c>
      <c r="D95" t="str">
        <f>"001109000050000"</f>
        <v>001109000050000</v>
      </c>
      <c r="G95">
        <v>15</v>
      </c>
      <c r="I95" t="str">
        <f>"日"</f>
        <v>日</v>
      </c>
      <c r="K95" t="str">
        <f>"JZGCCWF"</f>
        <v>JZGCCWF</v>
      </c>
      <c r="L95" t="str">
        <f>"QYCPYWX"</f>
        <v>QYCPYWX</v>
      </c>
      <c r="M95">
        <v>100</v>
      </c>
      <c r="O95" t="str">
        <f>"日"</f>
        <v>日</v>
      </c>
      <c r="P95" t="str">
        <f>"床位费"</f>
        <v>床位费</v>
      </c>
    </row>
    <row r="96" spans="1:16">
      <c r="A96" t="str">
        <f>"氧气吸入"</f>
        <v>氧气吸入</v>
      </c>
      <c r="B96">
        <v>120300001</v>
      </c>
      <c r="C96" t="str">
        <f>"输氧"</f>
        <v>输氧</v>
      </c>
      <c r="D96" t="str">
        <f>"001203000010000"</f>
        <v>001203000010000</v>
      </c>
      <c r="G96">
        <v>4</v>
      </c>
      <c r="I96" t="str">
        <f t="shared" ref="I96:I111" si="30">"次"</f>
        <v>次</v>
      </c>
      <c r="K96" t="str">
        <f>"YQXR"</f>
        <v>YQXR</v>
      </c>
      <c r="L96" t="str">
        <f>"RRKT"</f>
        <v>RRKT</v>
      </c>
      <c r="M96">
        <v>4</v>
      </c>
      <c r="N96">
        <v>120300001</v>
      </c>
      <c r="O96" t="str">
        <f>"小时"</f>
        <v>小时</v>
      </c>
      <c r="P96" t="str">
        <f>"输氧费"</f>
        <v>输氧费</v>
      </c>
    </row>
    <row r="97" spans="1:16">
      <c r="A97" t="str">
        <f>"氧气吸入（持续吸氧）"</f>
        <v>氧气吸入（持续吸氧）</v>
      </c>
      <c r="B97" t="str">
        <f>"120300001-a"</f>
        <v>120300001-a</v>
      </c>
      <c r="C97" t="str">
        <f t="shared" ref="C97:C107" si="31">"其他"</f>
        <v>其他</v>
      </c>
      <c r="D97" t="str">
        <f>"001203000010000"</f>
        <v>001203000010000</v>
      </c>
      <c r="G97">
        <v>65</v>
      </c>
      <c r="I97" t="str">
        <f>"日"</f>
        <v>日</v>
      </c>
      <c r="K97" t="str">
        <f>"YQXR（CXXY）"</f>
        <v>YQXR（CXXY）</v>
      </c>
      <c r="L97" t="str">
        <f>"RRKTRXKR"</f>
        <v>RRKTRXKR</v>
      </c>
      <c r="M97">
        <v>65</v>
      </c>
      <c r="N97" t="str">
        <f>"120300001-a"</f>
        <v>120300001-a</v>
      </c>
      <c r="O97" t="str">
        <f>"日"</f>
        <v>日</v>
      </c>
      <c r="P97" t="str">
        <f>"输氧费"</f>
        <v>输氧费</v>
      </c>
    </row>
    <row r="98" spans="1:16">
      <c r="A98" t="str">
        <f>"静脉输液每瓶加收"</f>
        <v>静脉输液每瓶加收</v>
      </c>
      <c r="B98" t="str">
        <f>"120400006-b"</f>
        <v>120400006-b</v>
      </c>
      <c r="C98" t="str">
        <f t="shared" si="31"/>
        <v>其他</v>
      </c>
      <c r="D98" t="str">
        <f>"001204000060000"</f>
        <v>001204000060000</v>
      </c>
      <c r="G98">
        <v>1.3</v>
      </c>
      <c r="I98" t="str">
        <f>"-"</f>
        <v>-</v>
      </c>
      <c r="K98" t="str">
        <f>"JMSYMPJS"</f>
        <v>JMSYMPJS</v>
      </c>
      <c r="L98" t="str">
        <f>"GELITULN"</f>
        <v>GELITULN</v>
      </c>
      <c r="M98">
        <v>1.3</v>
      </c>
      <c r="N98" t="str">
        <f>"120400006-b"</f>
        <v>120400006-b</v>
      </c>
      <c r="O98" t="str">
        <f>"瓶"</f>
        <v>瓶</v>
      </c>
      <c r="P98" t="str">
        <f>"其他护理费"</f>
        <v>其他护理费</v>
      </c>
    </row>
    <row r="99" spans="1:16">
      <c r="A99" t="str">
        <f>"大清创缝合"</f>
        <v>大清创缝合</v>
      </c>
      <c r="B99">
        <v>120500001</v>
      </c>
      <c r="C99" t="str">
        <f t="shared" si="31"/>
        <v>其他</v>
      </c>
      <c r="D99" t="str">
        <f>"001205000010000"</f>
        <v>001205000010000</v>
      </c>
      <c r="G99">
        <v>170</v>
      </c>
      <c r="I99" t="str">
        <f t="shared" si="30"/>
        <v>次</v>
      </c>
      <c r="K99" t="str">
        <f>"DQCFH"</f>
        <v>DQCFH</v>
      </c>
      <c r="L99" t="str">
        <f>"DIWXW"</f>
        <v>DIWXW</v>
      </c>
      <c r="M99">
        <v>170</v>
      </c>
      <c r="N99">
        <v>120500001</v>
      </c>
      <c r="O99" t="str">
        <f t="shared" ref="O99:O113" si="32">"次"</f>
        <v>次</v>
      </c>
      <c r="P99" t="str">
        <f t="shared" ref="P99:P104" si="33">"手术费"</f>
        <v>手术费</v>
      </c>
    </row>
    <row r="100" spans="1:16">
      <c r="A100" t="str">
        <f>"大清创"</f>
        <v>大清创</v>
      </c>
      <c r="B100" t="str">
        <f>"120500001-a"</f>
        <v>120500001-a</v>
      </c>
      <c r="C100" t="str">
        <f t="shared" si="31"/>
        <v>其他</v>
      </c>
      <c r="D100" t="str">
        <f>"001205000010000"</f>
        <v>001205000010000</v>
      </c>
      <c r="G100">
        <v>70</v>
      </c>
      <c r="I100" t="str">
        <f t="shared" si="30"/>
        <v>次</v>
      </c>
      <c r="K100" t="str">
        <f>"DQC"</f>
        <v>DQC</v>
      </c>
      <c r="L100" t="str">
        <f>"DIW"</f>
        <v>DIW</v>
      </c>
      <c r="M100">
        <v>70</v>
      </c>
      <c r="N100" t="str">
        <f>"120500001-a"</f>
        <v>120500001-a</v>
      </c>
      <c r="O100" t="str">
        <f t="shared" si="32"/>
        <v>次</v>
      </c>
      <c r="P100" t="str">
        <f t="shared" ref="P100:P109" si="34">"治疗费"</f>
        <v>治疗费</v>
      </c>
    </row>
    <row r="101" spans="1:16">
      <c r="A101" t="str">
        <f>"中清创缝合"</f>
        <v>中清创缝合</v>
      </c>
      <c r="B101">
        <v>120500002</v>
      </c>
      <c r="C101" t="str">
        <f t="shared" si="31"/>
        <v>其他</v>
      </c>
      <c r="D101" t="str">
        <f>"001205000020000"</f>
        <v>001205000020000</v>
      </c>
      <c r="G101">
        <v>85</v>
      </c>
      <c r="I101" t="str">
        <f t="shared" si="30"/>
        <v>次</v>
      </c>
      <c r="K101" t="str">
        <f>"ZQCFH"</f>
        <v>ZQCFH</v>
      </c>
      <c r="L101" t="str">
        <f>"KIWXW"</f>
        <v>KIWXW</v>
      </c>
      <c r="M101">
        <v>85</v>
      </c>
      <c r="N101">
        <v>120500002</v>
      </c>
      <c r="O101" t="str">
        <f t="shared" si="32"/>
        <v>次</v>
      </c>
      <c r="P101" t="str">
        <f t="shared" si="34"/>
        <v>治疗费</v>
      </c>
    </row>
    <row r="102" spans="1:16">
      <c r="A102" t="str">
        <f>"中清创"</f>
        <v>中清创</v>
      </c>
      <c r="B102" t="str">
        <f>"120500002-a"</f>
        <v>120500002-a</v>
      </c>
      <c r="C102" t="str">
        <f t="shared" si="31"/>
        <v>其他</v>
      </c>
      <c r="D102" t="str">
        <f>"001205000020000"</f>
        <v>001205000020000</v>
      </c>
      <c r="G102">
        <v>60</v>
      </c>
      <c r="I102" t="str">
        <f t="shared" si="30"/>
        <v>次</v>
      </c>
      <c r="K102" t="str">
        <f>"ZQC"</f>
        <v>ZQC</v>
      </c>
      <c r="L102" t="str">
        <f>"KIW"</f>
        <v>KIW</v>
      </c>
      <c r="M102">
        <v>60</v>
      </c>
      <c r="N102" t="str">
        <f>"120500002-a"</f>
        <v>120500002-a</v>
      </c>
      <c r="O102" t="str">
        <f t="shared" si="32"/>
        <v>次</v>
      </c>
      <c r="P102" t="str">
        <f t="shared" si="33"/>
        <v>手术费</v>
      </c>
    </row>
    <row r="103" spans="1:16">
      <c r="A103" t="str">
        <f>"小清创缝合"</f>
        <v>小清创缝合</v>
      </c>
      <c r="B103">
        <v>120500003</v>
      </c>
      <c r="C103" t="str">
        <f t="shared" si="31"/>
        <v>其他</v>
      </c>
      <c r="D103" t="str">
        <f>"001205000030000"</f>
        <v>001205000030000</v>
      </c>
      <c r="G103">
        <v>65</v>
      </c>
      <c r="I103" t="str">
        <f t="shared" si="30"/>
        <v>次</v>
      </c>
      <c r="K103" t="str">
        <f>"XQCFH"</f>
        <v>XQCFH</v>
      </c>
      <c r="L103" t="str">
        <f>"IIWXW"</f>
        <v>IIWXW</v>
      </c>
      <c r="M103">
        <v>65</v>
      </c>
      <c r="N103">
        <v>120500003</v>
      </c>
      <c r="O103" t="str">
        <f t="shared" si="32"/>
        <v>次</v>
      </c>
      <c r="P103" t="str">
        <f t="shared" si="33"/>
        <v>手术费</v>
      </c>
    </row>
    <row r="104" spans="1:16">
      <c r="A104" t="str">
        <f>"小清创"</f>
        <v>小清创</v>
      </c>
      <c r="B104" t="str">
        <f>"120500003-a"</f>
        <v>120500003-a</v>
      </c>
      <c r="C104" t="str">
        <f t="shared" si="31"/>
        <v>其他</v>
      </c>
      <c r="D104" t="str">
        <f>"001205000030000"</f>
        <v>001205000030000</v>
      </c>
      <c r="G104">
        <v>35</v>
      </c>
      <c r="I104" t="str">
        <f t="shared" si="30"/>
        <v>次</v>
      </c>
      <c r="K104" t="str">
        <f>"XQC"</f>
        <v>XQC</v>
      </c>
      <c r="L104" t="str">
        <f>"IIW"</f>
        <v>IIW</v>
      </c>
      <c r="M104">
        <v>35</v>
      </c>
      <c r="N104" t="str">
        <f>"120500003-a"</f>
        <v>120500003-a</v>
      </c>
      <c r="O104" t="str">
        <f t="shared" si="32"/>
        <v>次</v>
      </c>
      <c r="P104" t="str">
        <f t="shared" si="33"/>
        <v>手术费</v>
      </c>
    </row>
    <row r="105" spans="1:16">
      <c r="A105" t="str">
        <f>"大换药"</f>
        <v>大换药</v>
      </c>
      <c r="B105">
        <v>120600002</v>
      </c>
      <c r="C105" t="str">
        <f t="shared" si="31"/>
        <v>其他</v>
      </c>
      <c r="D105" t="str">
        <f>"001206000020000"</f>
        <v>001206000020000</v>
      </c>
      <c r="G105">
        <v>26</v>
      </c>
      <c r="I105" t="str">
        <f t="shared" si="30"/>
        <v>次</v>
      </c>
      <c r="K105" t="str">
        <f>"DHY"</f>
        <v>DHY</v>
      </c>
      <c r="L105" t="str">
        <f>"DRA"</f>
        <v>DRA</v>
      </c>
      <c r="M105">
        <v>26</v>
      </c>
      <c r="N105">
        <v>120600002</v>
      </c>
      <c r="O105" t="str">
        <f t="shared" si="32"/>
        <v>次</v>
      </c>
      <c r="P105" t="str">
        <f t="shared" si="34"/>
        <v>治疗费</v>
      </c>
    </row>
    <row r="106" spans="1:16">
      <c r="A106" t="str">
        <f>"中换药"</f>
        <v>中换药</v>
      </c>
      <c r="B106">
        <v>120600003</v>
      </c>
      <c r="C106" t="str">
        <f t="shared" si="31"/>
        <v>其他</v>
      </c>
      <c r="D106" t="str">
        <f>"001206000030000"</f>
        <v>001206000030000</v>
      </c>
      <c r="G106">
        <v>13</v>
      </c>
      <c r="I106" t="str">
        <f t="shared" si="30"/>
        <v>次</v>
      </c>
      <c r="K106" t="str">
        <f>"ZHY"</f>
        <v>ZHY</v>
      </c>
      <c r="L106" t="str">
        <f>"KRA"</f>
        <v>KRA</v>
      </c>
      <c r="M106">
        <v>13</v>
      </c>
      <c r="N106">
        <v>120600003</v>
      </c>
      <c r="O106" t="str">
        <f t="shared" si="32"/>
        <v>次</v>
      </c>
      <c r="P106" t="str">
        <f t="shared" si="34"/>
        <v>治疗费</v>
      </c>
    </row>
    <row r="107" spans="1:16">
      <c r="A107" t="str">
        <f>"小换药"</f>
        <v>小换药</v>
      </c>
      <c r="B107">
        <v>120600004</v>
      </c>
      <c r="C107" t="str">
        <f t="shared" si="31"/>
        <v>其他</v>
      </c>
      <c r="D107" t="str">
        <f>"001206000040000"</f>
        <v>001206000040000</v>
      </c>
      <c r="G107">
        <v>7</v>
      </c>
      <c r="I107" t="str">
        <f t="shared" si="30"/>
        <v>次</v>
      </c>
      <c r="K107" t="str">
        <f>"XHY"</f>
        <v>XHY</v>
      </c>
      <c r="L107" t="str">
        <f>"IRA"</f>
        <v>IRA</v>
      </c>
      <c r="M107">
        <v>7</v>
      </c>
      <c r="N107">
        <v>120600004</v>
      </c>
      <c r="O107" t="str">
        <f t="shared" si="32"/>
        <v>次</v>
      </c>
      <c r="P107" t="str">
        <f t="shared" si="34"/>
        <v>治疗费</v>
      </c>
    </row>
    <row r="108" spans="1:16">
      <c r="A108" t="str">
        <f>"小换药（门诊拆线）"</f>
        <v>小换药（门诊拆线）</v>
      </c>
      <c r="B108" t="str">
        <f>"120600004-1"</f>
        <v>120600004-1</v>
      </c>
      <c r="C108" t="str">
        <f>"治疗"</f>
        <v>治疗</v>
      </c>
      <c r="D108" t="str">
        <f>"001206000040000"</f>
        <v>001206000040000</v>
      </c>
      <c r="G108">
        <v>7</v>
      </c>
      <c r="I108" t="str">
        <f t="shared" si="30"/>
        <v>次</v>
      </c>
      <c r="K108" t="str">
        <f>"XHYMZCX"</f>
        <v>XHYMZCX</v>
      </c>
      <c r="L108" t="str">
        <f>"IRAUYRX"</f>
        <v>IRAUYRX</v>
      </c>
      <c r="M108">
        <v>7</v>
      </c>
      <c r="N108">
        <v>120600004</v>
      </c>
      <c r="O108" t="str">
        <f t="shared" si="32"/>
        <v>次</v>
      </c>
      <c r="P108" t="str">
        <f t="shared" si="34"/>
        <v>治疗费</v>
      </c>
    </row>
    <row r="109" spans="1:16">
      <c r="A109" t="str">
        <f>"导尿"</f>
        <v>导尿</v>
      </c>
      <c r="B109">
        <v>121600001</v>
      </c>
      <c r="C109" t="str">
        <f t="shared" ref="C109:C114" si="35">"其他"</f>
        <v>其他</v>
      </c>
      <c r="D109" t="str">
        <f>"001216000010000"</f>
        <v>001216000010000</v>
      </c>
      <c r="G109">
        <v>5.2</v>
      </c>
      <c r="I109" t="str">
        <f t="shared" si="30"/>
        <v>次</v>
      </c>
      <c r="K109" t="str">
        <f>"DN"</f>
        <v>DN</v>
      </c>
      <c r="L109" t="str">
        <f>"NN"</f>
        <v>NN</v>
      </c>
      <c r="M109">
        <v>5.2</v>
      </c>
      <c r="N109">
        <v>121600001</v>
      </c>
      <c r="O109" t="str">
        <f t="shared" si="32"/>
        <v>次</v>
      </c>
      <c r="P109" t="str">
        <f t="shared" si="34"/>
        <v>治疗费</v>
      </c>
    </row>
    <row r="110" spans="1:16">
      <c r="A110" t="str">
        <f>"出诊费"</f>
        <v>出诊费</v>
      </c>
      <c r="B110">
        <v>130700001</v>
      </c>
      <c r="C110" t="str">
        <f t="shared" si="35"/>
        <v>其他</v>
      </c>
      <c r="D110" t="str">
        <f>"001307000010000"</f>
        <v>001307000010000</v>
      </c>
      <c r="G110">
        <v>42</v>
      </c>
      <c r="I110" t="str">
        <f t="shared" si="30"/>
        <v>次</v>
      </c>
      <c r="K110" t="str">
        <f>"CZ"</f>
        <v>CZ</v>
      </c>
      <c r="L110" t="str">
        <f>"BY"</f>
        <v>BY</v>
      </c>
      <c r="M110">
        <v>42</v>
      </c>
      <c r="N110">
        <v>130700001</v>
      </c>
      <c r="O110" t="str">
        <f t="shared" si="32"/>
        <v>次</v>
      </c>
      <c r="P110" t="str">
        <f>"服务收入"</f>
        <v>服务收入</v>
      </c>
    </row>
    <row r="111" spans="1:16">
      <c r="A111" t="str">
        <f>"出诊费（副高以上职称）"</f>
        <v>出诊费（副高以上职称）</v>
      </c>
      <c r="B111" t="str">
        <f>"130700001-a"</f>
        <v>130700001-a</v>
      </c>
      <c r="C111" t="str">
        <f t="shared" si="35"/>
        <v>其他</v>
      </c>
      <c r="D111" t="str">
        <f>"001307000010001"</f>
        <v>001307000010001</v>
      </c>
      <c r="G111">
        <v>57</v>
      </c>
      <c r="I111" t="str">
        <f t="shared" si="30"/>
        <v>次</v>
      </c>
      <c r="K111" t="str">
        <f>"CZFGZCYS"</f>
        <v>CZFGZCYS</v>
      </c>
      <c r="L111" t="str">
        <f>"BYGYBTCH"</f>
        <v>BYGYBTCH</v>
      </c>
      <c r="M111">
        <v>57</v>
      </c>
      <c r="N111" t="str">
        <f>"130700001-a"</f>
        <v>130700001-a</v>
      </c>
      <c r="O111" t="str">
        <f t="shared" si="32"/>
        <v>次</v>
      </c>
      <c r="P111" t="str">
        <f>"服务收入"</f>
        <v>服务收入</v>
      </c>
    </row>
    <row r="112" spans="1:16">
      <c r="A112" t="str">
        <f>"一般诊疗费"</f>
        <v>一般诊疗费</v>
      </c>
      <c r="B112">
        <v>1311</v>
      </c>
      <c r="C112" t="str">
        <f t="shared" si="35"/>
        <v>其他</v>
      </c>
      <c r="D112" t="str">
        <f>"001101000010000"</f>
        <v>001101000010000</v>
      </c>
      <c r="G112">
        <v>10</v>
      </c>
      <c r="I112">
        <v>1</v>
      </c>
      <c r="K112" t="str">
        <f>"YBZLF"</f>
        <v>YBZLF</v>
      </c>
      <c r="L112" t="str">
        <f>"GTYUX"</f>
        <v>GTYUX</v>
      </c>
      <c r="M112">
        <v>10</v>
      </c>
      <c r="N112">
        <v>1311</v>
      </c>
      <c r="O112" t="str">
        <f t="shared" si="32"/>
        <v>次</v>
      </c>
      <c r="P112" t="str">
        <f>"一般诊疗费"</f>
        <v>一般诊疗费</v>
      </c>
    </row>
    <row r="113" spans="1:16">
      <c r="A113" t="str">
        <f>"主任医师一般诊疗费"</f>
        <v>主任医师一般诊疗费</v>
      </c>
      <c r="B113">
        <v>131100001</v>
      </c>
      <c r="C113" t="str">
        <f t="shared" si="35"/>
        <v>其他</v>
      </c>
      <c r="D113" t="str">
        <f>"001102000010100"</f>
        <v>001102000010100</v>
      </c>
      <c r="G113">
        <v>23</v>
      </c>
      <c r="I113" t="str">
        <f t="shared" ref="I113:I116" si="36">"次"</f>
        <v>次</v>
      </c>
      <c r="K113" t="str">
        <f>"ZRYSYBZLF"</f>
        <v>ZRYSYBZLF</v>
      </c>
      <c r="L113" t="str">
        <f>"YWAJGTYUX"</f>
        <v>YWAJGTYUX</v>
      </c>
      <c r="M113">
        <v>23</v>
      </c>
      <c r="N113">
        <v>131100001</v>
      </c>
      <c r="O113" t="str">
        <f t="shared" si="32"/>
        <v>次</v>
      </c>
      <c r="P113" t="str">
        <f>"诊查费"</f>
        <v>诊查费</v>
      </c>
    </row>
    <row r="114" spans="1:16">
      <c r="A114" t="str">
        <f>"副主任医师一般诊疗费"</f>
        <v>副主任医师一般诊疗费</v>
      </c>
      <c r="B114">
        <v>131100002</v>
      </c>
      <c r="C114" t="str">
        <f t="shared" si="35"/>
        <v>其他</v>
      </c>
      <c r="D114" t="str">
        <f>"001102000010200"</f>
        <v>001102000010200</v>
      </c>
      <c r="G114">
        <v>14</v>
      </c>
      <c r="I114" t="str">
        <f t="shared" si="36"/>
        <v>次</v>
      </c>
      <c r="K114" t="str">
        <f>"FZRYSYBZLF"</f>
        <v>FZRYSYBZLF</v>
      </c>
      <c r="L114" t="str">
        <f>"GYWAJGTYUX"</f>
        <v>GYWAJGTYUX</v>
      </c>
      <c r="M114">
        <v>14</v>
      </c>
      <c r="N114">
        <v>131100002</v>
      </c>
      <c r="O114" t="str">
        <f>"每次"</f>
        <v>每次</v>
      </c>
      <c r="P114" t="str">
        <f>"诊查费"</f>
        <v>诊查费</v>
      </c>
    </row>
    <row r="115" spans="1:16">
      <c r="A115" t="str">
        <f>"红细胞沉降率测定(ESR)(手工法)"</f>
        <v>红细胞沉降率测定(ESR)(手工法)</v>
      </c>
      <c r="B115">
        <v>250101008</v>
      </c>
      <c r="C115" t="str">
        <f t="shared" ref="C115:C178" si="37">"检验"</f>
        <v>检验</v>
      </c>
      <c r="D115" t="str">
        <f>"002501010080000"</f>
        <v>002501010080000</v>
      </c>
      <c r="G115">
        <v>5</v>
      </c>
      <c r="I115" t="str">
        <f t="shared" ref="I115:I118" si="38">"项"</f>
        <v>项</v>
      </c>
      <c r="K115" t="str">
        <f>"HXBCJLCD(ESR)(SG"</f>
        <v>HXBCJLCD(ESR)(SG</v>
      </c>
      <c r="L115" t="str">
        <f>"XXEIBYIPESRRAI"</f>
        <v>XXEIBYIPESRRAI</v>
      </c>
      <c r="M115">
        <v>5</v>
      </c>
      <c r="N115">
        <v>250101008</v>
      </c>
      <c r="O115" t="str">
        <f t="shared" ref="O115:O118" si="39">"项"</f>
        <v>项</v>
      </c>
      <c r="P115" t="str">
        <f t="shared" ref="P115:P178" si="40">"检验费"</f>
        <v>检验费</v>
      </c>
    </row>
    <row r="116" spans="1:16">
      <c r="A116" t="str">
        <f>"血细胞分析（五分类）"</f>
        <v>血细胞分析（五分类）</v>
      </c>
      <c r="B116" t="str">
        <f>"250101015-b"</f>
        <v>250101015-b</v>
      </c>
      <c r="C116" t="str">
        <f t="shared" si="37"/>
        <v>检验</v>
      </c>
      <c r="D116" t="str">
        <f>"002501010150000"</f>
        <v>002501010150000</v>
      </c>
      <c r="G116">
        <v>18</v>
      </c>
      <c r="I116" t="str">
        <f t="shared" si="36"/>
        <v>次</v>
      </c>
      <c r="K116" t="str">
        <f>"XXBFXWFL"</f>
        <v>XXBFXWFL</v>
      </c>
      <c r="L116" t="str">
        <f>"TXEWSGWO"</f>
        <v>TXEWSGWO</v>
      </c>
      <c r="M116">
        <v>18</v>
      </c>
      <c r="N116" t="str">
        <f>"250101015-b"</f>
        <v>250101015-b</v>
      </c>
      <c r="O116" t="str">
        <f t="shared" ref="O116:O121" si="41">"次"</f>
        <v>次</v>
      </c>
      <c r="P116" t="str">
        <f t="shared" si="40"/>
        <v>检验费</v>
      </c>
    </row>
    <row r="117" spans="1:16">
      <c r="A117" t="str">
        <f>"尿妊娠试验"</f>
        <v>尿妊娠试验</v>
      </c>
      <c r="B117" t="str">
        <f>"250102021-b"</f>
        <v>250102021-b</v>
      </c>
      <c r="C117" t="str">
        <f t="shared" si="37"/>
        <v>检验</v>
      </c>
      <c r="D117" t="str">
        <f>"002501020210000"</f>
        <v>002501020210000</v>
      </c>
      <c r="G117">
        <v>7</v>
      </c>
      <c r="I117" t="str">
        <f t="shared" si="38"/>
        <v>项</v>
      </c>
      <c r="K117" t="str">
        <f>"NRSSY"</f>
        <v>NRSSY</v>
      </c>
      <c r="L117" t="str">
        <f>"NVVYC"</f>
        <v>NVVYC</v>
      </c>
      <c r="M117">
        <v>7</v>
      </c>
      <c r="N117" t="str">
        <f>"250102021-b"</f>
        <v>250102021-b</v>
      </c>
      <c r="O117" t="str">
        <f t="shared" si="39"/>
        <v>项</v>
      </c>
      <c r="P117" t="str">
        <f t="shared" si="40"/>
        <v>检验费</v>
      </c>
    </row>
    <row r="118" spans="1:16">
      <c r="A118" t="str">
        <f>"尿沉渣定量"</f>
        <v>尿沉渣定量</v>
      </c>
      <c r="B118" t="str">
        <f>"250102024-a"</f>
        <v>250102024-a</v>
      </c>
      <c r="C118" t="str">
        <f t="shared" si="37"/>
        <v>检验</v>
      </c>
      <c r="D118" t="str">
        <f>"002501020240000"</f>
        <v>002501020240000</v>
      </c>
      <c r="G118">
        <v>20</v>
      </c>
      <c r="I118" t="str">
        <f t="shared" si="38"/>
        <v>项</v>
      </c>
      <c r="K118" t="str">
        <f>"NCZDL"</f>
        <v>NCZDL</v>
      </c>
      <c r="L118" t="str">
        <f>"NIIPJ"</f>
        <v>NIIPJ</v>
      </c>
      <c r="M118">
        <v>20</v>
      </c>
      <c r="N118" t="str">
        <f>"250102024-a"</f>
        <v>250102024-a</v>
      </c>
      <c r="O118" t="str">
        <f t="shared" si="39"/>
        <v>项</v>
      </c>
      <c r="P118" t="str">
        <f t="shared" si="40"/>
        <v>检验费</v>
      </c>
    </row>
    <row r="119" spans="1:16">
      <c r="A119" t="str">
        <f>"尿常规化学检测"</f>
        <v>尿常规化学检测</v>
      </c>
      <c r="B119">
        <v>250102035</v>
      </c>
      <c r="C119" t="str">
        <f t="shared" si="37"/>
        <v>检验</v>
      </c>
      <c r="D119" t="str">
        <f>"002501020350000"</f>
        <v>002501020350000</v>
      </c>
      <c r="G119">
        <v>5</v>
      </c>
      <c r="I119" t="str">
        <f t="shared" ref="I119:I123" si="42">"次"</f>
        <v>次</v>
      </c>
      <c r="K119" t="str">
        <f>"NCGHXJC"</f>
        <v>NCGHXJC</v>
      </c>
      <c r="L119" t="str">
        <f>"NIFWISI"</f>
        <v>NIFWISI</v>
      </c>
      <c r="M119">
        <v>5</v>
      </c>
      <c r="N119">
        <v>250102035</v>
      </c>
      <c r="O119" t="str">
        <f t="shared" si="41"/>
        <v>次</v>
      </c>
      <c r="P119" t="str">
        <f t="shared" si="40"/>
        <v>检验费</v>
      </c>
    </row>
    <row r="120" spans="1:16">
      <c r="A120" t="str">
        <f>"尿液分析(使用抗维生素C试剂条加收)"</f>
        <v>尿液分析(使用抗维生素C试剂条加收)</v>
      </c>
      <c r="B120" t="str">
        <f>"250102035-a"</f>
        <v>250102035-a</v>
      </c>
      <c r="C120" t="str">
        <f t="shared" si="37"/>
        <v>检验</v>
      </c>
      <c r="D120" t="str">
        <f>"002501020350000"</f>
        <v>002501020350000</v>
      </c>
      <c r="G120">
        <v>2</v>
      </c>
      <c r="I120" t="str">
        <f>"-"</f>
        <v>-</v>
      </c>
      <c r="K120" t="str">
        <f>"NYFXSYKWSS"</f>
        <v>NYFXSYKWSS</v>
      </c>
      <c r="L120" t="str">
        <f>"NIWSWERXTG"</f>
        <v>NIWSWERXTG</v>
      </c>
      <c r="M120">
        <v>2</v>
      </c>
      <c r="N120" t="str">
        <f>"250102035-a"</f>
        <v>250102035-a</v>
      </c>
      <c r="O120" t="str">
        <f t="shared" si="41"/>
        <v>次</v>
      </c>
      <c r="P120" t="str">
        <f t="shared" si="40"/>
        <v>检验费</v>
      </c>
    </row>
    <row r="121" spans="1:16">
      <c r="A121" t="str">
        <f>"粪便常规"</f>
        <v>粪便常规</v>
      </c>
      <c r="B121">
        <v>250103001</v>
      </c>
      <c r="C121" t="str">
        <f t="shared" si="37"/>
        <v>检验</v>
      </c>
      <c r="D121" t="str">
        <f>"002501030010000"</f>
        <v>002501030010000</v>
      </c>
      <c r="G121">
        <v>5</v>
      </c>
      <c r="I121" t="str">
        <f t="shared" si="42"/>
        <v>次</v>
      </c>
      <c r="K121" t="str">
        <f>"FBCG"</f>
        <v>FBCG</v>
      </c>
      <c r="L121" t="str">
        <f>"OWIF"</f>
        <v>OWIF</v>
      </c>
      <c r="M121">
        <v>5</v>
      </c>
      <c r="N121">
        <v>250103001</v>
      </c>
      <c r="O121" t="str">
        <f t="shared" si="41"/>
        <v>次</v>
      </c>
      <c r="P121" t="str">
        <f t="shared" si="40"/>
        <v>检验费</v>
      </c>
    </row>
    <row r="122" spans="1:16">
      <c r="A122" t="str">
        <f>"粪便隐血试验(OB)"</f>
        <v>粪便隐血试验(OB)</v>
      </c>
      <c r="B122" t="str">
        <f>"250103002-b"</f>
        <v>250103002-b</v>
      </c>
      <c r="C122" t="str">
        <f t="shared" si="37"/>
        <v>检验</v>
      </c>
      <c r="D122" t="str">
        <f>"002501030020000"</f>
        <v>002501030020000</v>
      </c>
      <c r="G122">
        <v>12</v>
      </c>
      <c r="I122" t="str">
        <f t="shared" ref="I122:I131" si="43">"项"</f>
        <v>项</v>
      </c>
      <c r="K122" t="str">
        <f>"FBYXSY(OB)"</f>
        <v>FBYXSY(OB)</v>
      </c>
      <c r="L122" t="str">
        <f>"OWBTYC(ob)"</f>
        <v>OWBTYC(ob)</v>
      </c>
      <c r="M122">
        <v>12</v>
      </c>
      <c r="N122" t="str">
        <f>"250103002-b"</f>
        <v>250103002-b</v>
      </c>
      <c r="O122" t="str">
        <f t="shared" ref="O122:O131" si="44">"项"</f>
        <v>项</v>
      </c>
      <c r="P122" t="str">
        <f t="shared" si="40"/>
        <v>检验费</v>
      </c>
    </row>
    <row r="123" spans="1:16">
      <c r="A123" t="str">
        <f>"阴道分泌物检查"</f>
        <v>阴道分泌物检查</v>
      </c>
      <c r="B123">
        <v>250104014</v>
      </c>
      <c r="C123" t="str">
        <f t="shared" si="37"/>
        <v>检验</v>
      </c>
      <c r="D123" t="str">
        <f t="shared" ref="D123:D126" si="45">"002501040140000"</f>
        <v>002501040140000</v>
      </c>
      <c r="G123">
        <v>7</v>
      </c>
      <c r="I123" t="str">
        <f t="shared" si="42"/>
        <v>次</v>
      </c>
      <c r="K123" t="str">
        <f>"YDFMWJC"</f>
        <v>YDFMWJC</v>
      </c>
      <c r="L123" t="str">
        <f>"BUWITSS"</f>
        <v>BUWITSS</v>
      </c>
      <c r="M123">
        <v>7</v>
      </c>
      <c r="N123">
        <v>250104014</v>
      </c>
      <c r="O123" t="str">
        <f>"次"</f>
        <v>次</v>
      </c>
      <c r="P123" t="str">
        <f t="shared" si="40"/>
        <v>检验费</v>
      </c>
    </row>
    <row r="124" spans="1:16">
      <c r="A124" t="str">
        <f>"细菌性阴道炎检查（白细胞酯梅）"</f>
        <v>细菌性阴道炎检查（白细胞酯梅）</v>
      </c>
      <c r="B124" t="str">
        <f>"250104014-a-1"</f>
        <v>250104014-a-1</v>
      </c>
      <c r="C124" t="str">
        <f t="shared" si="37"/>
        <v>检验</v>
      </c>
      <c r="D124" t="str">
        <f t="shared" si="45"/>
        <v>002501040140000</v>
      </c>
      <c r="G124">
        <v>11</v>
      </c>
      <c r="I124" t="str">
        <f t="shared" si="43"/>
        <v>项</v>
      </c>
      <c r="K124" t="str">
        <f>"XJXYDYJCBXBM"</f>
        <v>XJXYDYJCBXBM</v>
      </c>
      <c r="L124" t="str">
        <f>"XANBUOSSRXESS"</f>
        <v>XANBUOSSRXESS</v>
      </c>
      <c r="M124">
        <v>12</v>
      </c>
      <c r="N124" t="str">
        <f t="shared" ref="N124:N126" si="46">"250104014-a"</f>
        <v>250104014-a</v>
      </c>
      <c r="O124" t="str">
        <f t="shared" si="44"/>
        <v>项</v>
      </c>
      <c r="P124" t="str">
        <f t="shared" si="40"/>
        <v>检验费</v>
      </c>
    </row>
    <row r="125" spans="1:16">
      <c r="A125" t="str">
        <f>"细菌性阴道炎检查（过氧化氢浓度）"</f>
        <v>细菌性阴道炎检查（过氧化氢浓度）</v>
      </c>
      <c r="B125" t="str">
        <f>"250104014-a-2"</f>
        <v>250104014-a-2</v>
      </c>
      <c r="C125" t="str">
        <f t="shared" si="37"/>
        <v>检验</v>
      </c>
      <c r="D125" t="str">
        <f t="shared" si="45"/>
        <v>002501040140000</v>
      </c>
      <c r="G125">
        <v>11</v>
      </c>
      <c r="I125" t="str">
        <f t="shared" si="43"/>
        <v>项</v>
      </c>
      <c r="K125" t="str">
        <f>"XJXYDYJCGYHQND"</f>
        <v>XJXYDYJCGYHQND</v>
      </c>
      <c r="L125" t="str">
        <f>"XANBUOSSFRWRIY"</f>
        <v>XANBUOSSFRWRIY</v>
      </c>
      <c r="M125">
        <v>12</v>
      </c>
      <c r="N125" t="str">
        <f t="shared" si="46"/>
        <v>250104014-a</v>
      </c>
      <c r="O125" t="str">
        <f t="shared" si="44"/>
        <v>项</v>
      </c>
      <c r="P125" t="str">
        <f t="shared" si="40"/>
        <v>检验费</v>
      </c>
    </row>
    <row r="126" spans="1:16">
      <c r="A126" t="str">
        <f>"细菌性阴道炎检查(唾液酸苷酶）"</f>
        <v>细菌性阴道炎检查(唾液酸苷酶）</v>
      </c>
      <c r="B126" t="str">
        <f>"250104014-a-4"</f>
        <v>250104014-a-4</v>
      </c>
      <c r="C126" t="str">
        <f t="shared" si="37"/>
        <v>检验</v>
      </c>
      <c r="D126" t="str">
        <f t="shared" si="45"/>
        <v>002501040140000</v>
      </c>
      <c r="G126">
        <v>11</v>
      </c>
      <c r="I126" t="str">
        <f t="shared" si="43"/>
        <v>项</v>
      </c>
      <c r="K126" t="str">
        <f>"XJXYDYJCTYSM"</f>
        <v>XJXYDYJCTYSM</v>
      </c>
      <c r="L126" t="str">
        <f>"XANBUOSSKISAS"</f>
        <v>XANBUOSSKISAS</v>
      </c>
      <c r="M126">
        <v>12</v>
      </c>
      <c r="N126" t="str">
        <f t="shared" si="46"/>
        <v>250104014-a</v>
      </c>
      <c r="O126" t="str">
        <f t="shared" si="44"/>
        <v>项</v>
      </c>
      <c r="P126" t="str">
        <f t="shared" si="40"/>
        <v>检验费</v>
      </c>
    </row>
    <row r="127" spans="1:16">
      <c r="A127" t="str">
        <f>"血浆凝血酶原时间测定(PT)"</f>
        <v>血浆凝血酶原时间测定(PT)</v>
      </c>
      <c r="B127">
        <v>250203020</v>
      </c>
      <c r="C127" t="str">
        <f t="shared" si="37"/>
        <v>检验</v>
      </c>
      <c r="D127" t="str">
        <f>"002502030200000"</f>
        <v>002502030200000</v>
      </c>
      <c r="G127">
        <v>15</v>
      </c>
      <c r="I127" t="str">
        <f t="shared" si="43"/>
        <v>项</v>
      </c>
      <c r="K127" t="str">
        <f>"XJNXMYSJCD(PT)"</f>
        <v>XJNXMYSJCD(PT)</v>
      </c>
      <c r="L127" t="str">
        <f>"TUUTSDJUIP(pt)"</f>
        <v>TUUTSDJUIP(pt)</v>
      </c>
      <c r="M127">
        <v>15</v>
      </c>
      <c r="N127">
        <v>250203020</v>
      </c>
      <c r="O127" t="str">
        <f t="shared" si="44"/>
        <v>项</v>
      </c>
      <c r="P127" t="str">
        <f t="shared" si="40"/>
        <v>检验费</v>
      </c>
    </row>
    <row r="128" spans="1:16">
      <c r="A128" t="str">
        <f>"活化部分凝血活酶时间测定(APTT)"</f>
        <v>活化部分凝血活酶时间测定(APTT)</v>
      </c>
      <c r="B128">
        <v>250203025</v>
      </c>
      <c r="C128" t="str">
        <f t="shared" si="37"/>
        <v>检验</v>
      </c>
      <c r="D128" t="str">
        <f>"002502030250000"</f>
        <v>002502030250000</v>
      </c>
      <c r="G128">
        <v>15</v>
      </c>
      <c r="I128" t="str">
        <f t="shared" si="43"/>
        <v>项</v>
      </c>
      <c r="K128" t="str">
        <f>"HHBFNXHMSJCD(APTT)"</f>
        <v>HHBFNXHMSJCD(APTT)</v>
      </c>
      <c r="L128" t="str">
        <f>"IWUWUTISJUIP(aptt)"</f>
        <v>IWUWUTISJUIP(aptt)</v>
      </c>
      <c r="M128">
        <v>20</v>
      </c>
      <c r="N128">
        <v>250203025</v>
      </c>
      <c r="O128" t="str">
        <f t="shared" si="44"/>
        <v>项</v>
      </c>
      <c r="P128" t="str">
        <f t="shared" si="40"/>
        <v>检验费</v>
      </c>
    </row>
    <row r="129" spans="1:16">
      <c r="A129" t="str">
        <f>"(FIB)血浆纤维蛋白原测定"</f>
        <v>(FIB)血浆纤维蛋白原测定</v>
      </c>
      <c r="B129">
        <v>250203030</v>
      </c>
      <c r="C129" t="str">
        <f t="shared" si="37"/>
        <v>检验</v>
      </c>
      <c r="D129" t="str">
        <f>"002502030300000"</f>
        <v>002502030300000</v>
      </c>
      <c r="G129">
        <v>15</v>
      </c>
      <c r="I129" t="str">
        <f t="shared" si="43"/>
        <v>项</v>
      </c>
      <c r="K129" t="str">
        <f>"(FIB)XJXWDBYCD"</f>
        <v>(FIB)XJXWDBYCD</v>
      </c>
      <c r="L129" t="str">
        <f>"FIBTUXXNRDIP"</f>
        <v>FIBTUXXNRDIP</v>
      </c>
      <c r="M129">
        <v>15</v>
      </c>
      <c r="N129">
        <v>250203030</v>
      </c>
      <c r="O129" t="str">
        <f t="shared" si="44"/>
        <v>项</v>
      </c>
      <c r="P129" t="str">
        <f t="shared" si="40"/>
        <v>检验费</v>
      </c>
    </row>
    <row r="130" spans="1:16">
      <c r="A130" t="str">
        <f>"凝血酶时间测定(TT)"</f>
        <v>凝血酶时间测定(TT)</v>
      </c>
      <c r="B130">
        <v>250203035</v>
      </c>
      <c r="C130" t="str">
        <f t="shared" si="37"/>
        <v>检验</v>
      </c>
      <c r="D130" t="str">
        <f>"002502030350000"</f>
        <v>002502030350000</v>
      </c>
      <c r="G130">
        <v>12</v>
      </c>
      <c r="I130" t="str">
        <f t="shared" si="43"/>
        <v>项</v>
      </c>
      <c r="K130" t="str">
        <f>"NXMSJCD(TT)"</f>
        <v>NXMSJCD(TT)</v>
      </c>
      <c r="L130" t="str">
        <f>"UTSJUIP(tt)"</f>
        <v>UTSJUIP(tt)</v>
      </c>
      <c r="M130">
        <v>12</v>
      </c>
      <c r="N130">
        <v>250203035</v>
      </c>
      <c r="O130" t="str">
        <f t="shared" si="44"/>
        <v>项</v>
      </c>
      <c r="P130" t="str">
        <f t="shared" si="40"/>
        <v>检验费</v>
      </c>
    </row>
    <row r="131" spans="1:16">
      <c r="A131" t="str">
        <f>"血浆D-二聚体测定(D-Dimer)"</f>
        <v>血浆D-二聚体测定(D-Dimer)</v>
      </c>
      <c r="B131">
        <v>250203066</v>
      </c>
      <c r="C131" t="str">
        <f t="shared" si="37"/>
        <v>检验</v>
      </c>
      <c r="D131" t="str">
        <f>"002502030660200"</f>
        <v>002502030660200</v>
      </c>
      <c r="G131">
        <v>30</v>
      </c>
      <c r="I131" t="str">
        <f t="shared" si="43"/>
        <v>项</v>
      </c>
      <c r="K131" t="str">
        <f>"XJD-EJTCD(D-DIMER)"</f>
        <v>XJD-EJTCD(D-DIMER)</v>
      </c>
      <c r="L131" t="str">
        <f>"TUd-FBWIP(d-dimer)"</f>
        <v>TUd-FBWIP(d-dimer)</v>
      </c>
      <c r="M131">
        <v>45</v>
      </c>
      <c r="N131">
        <v>250203066</v>
      </c>
      <c r="O131" t="str">
        <f t="shared" si="44"/>
        <v>项</v>
      </c>
      <c r="P131" t="str">
        <f t="shared" si="40"/>
        <v>检验费</v>
      </c>
    </row>
    <row r="132" spans="1:16">
      <c r="A132" t="str">
        <f>"红细胞流变特性检测"</f>
        <v>红细胞流变特性检测</v>
      </c>
      <c r="B132">
        <v>250203070</v>
      </c>
      <c r="C132" t="str">
        <f t="shared" si="37"/>
        <v>检验</v>
      </c>
      <c r="D132" t="str">
        <f>"002502030700000"</f>
        <v>002502030700000</v>
      </c>
      <c r="G132">
        <v>8</v>
      </c>
      <c r="I132" t="str">
        <f>"次"</f>
        <v>次</v>
      </c>
      <c r="K132" t="str">
        <f>"HXBLBTXJC"</f>
        <v>HXBLBTXJC</v>
      </c>
      <c r="L132" t="str">
        <f>"XXEIYTNSI"</f>
        <v>XXEIYTNSI</v>
      </c>
      <c r="M132">
        <v>15</v>
      </c>
      <c r="N132">
        <v>250203070</v>
      </c>
      <c r="O132" t="str">
        <f>"次"</f>
        <v>次</v>
      </c>
      <c r="P132" t="str">
        <f t="shared" si="40"/>
        <v>检验费</v>
      </c>
    </row>
    <row r="133" spans="1:16">
      <c r="A133" t="str">
        <f>"全血粘度测定（低切）"</f>
        <v>全血粘度测定（低切）</v>
      </c>
      <c r="B133" t="str">
        <f>"250203071-1"</f>
        <v>250203071-1</v>
      </c>
      <c r="C133" t="str">
        <f t="shared" si="37"/>
        <v>检验</v>
      </c>
      <c r="D133" t="str">
        <f t="shared" ref="D133:D135" si="47">"002502030710000"</f>
        <v>002502030710000</v>
      </c>
      <c r="G133">
        <v>15</v>
      </c>
      <c r="I133" t="str">
        <f t="shared" ref="I133:I141" si="48">"项"</f>
        <v>项</v>
      </c>
      <c r="K133" t="str">
        <f>"QXZDCD（DQ）"</f>
        <v>QXZDCD（DQ）</v>
      </c>
      <c r="L133" t="str">
        <f>"WTOYIPWA"</f>
        <v>WTOYIPWA</v>
      </c>
      <c r="M133">
        <v>15</v>
      </c>
      <c r="N133">
        <v>250203071</v>
      </c>
      <c r="O133" t="str">
        <f t="shared" ref="O133:O141" si="49">"项"</f>
        <v>项</v>
      </c>
      <c r="P133" t="str">
        <f t="shared" si="40"/>
        <v>检验费</v>
      </c>
    </row>
    <row r="134" spans="1:16">
      <c r="A134" t="str">
        <f>"全血粘度测定（中切）"</f>
        <v>全血粘度测定（中切）</v>
      </c>
      <c r="B134" t="str">
        <f>"250203071-2"</f>
        <v>250203071-2</v>
      </c>
      <c r="C134" t="str">
        <f t="shared" si="37"/>
        <v>检验</v>
      </c>
      <c r="D134" t="str">
        <f t="shared" si="47"/>
        <v>002502030710000</v>
      </c>
      <c r="G134">
        <v>15</v>
      </c>
      <c r="I134" t="str">
        <f t="shared" si="48"/>
        <v>项</v>
      </c>
      <c r="K134" t="str">
        <f>"QXZDCD（ZQ）"</f>
        <v>QXZDCD（ZQ）</v>
      </c>
      <c r="L134" t="str">
        <f>"WTOYIPKA"</f>
        <v>WTOYIPKA</v>
      </c>
      <c r="M134">
        <v>15</v>
      </c>
      <c r="N134">
        <v>250203071</v>
      </c>
      <c r="O134" t="str">
        <f t="shared" si="49"/>
        <v>项</v>
      </c>
      <c r="P134" t="str">
        <f t="shared" si="40"/>
        <v>检验费</v>
      </c>
    </row>
    <row r="135" spans="1:16">
      <c r="A135" t="str">
        <f>"全血粘度测定（高切）"</f>
        <v>全血粘度测定（高切）</v>
      </c>
      <c r="B135" t="str">
        <f>"250203071-3"</f>
        <v>250203071-3</v>
      </c>
      <c r="C135" t="str">
        <f t="shared" si="37"/>
        <v>检验</v>
      </c>
      <c r="D135" t="str">
        <f t="shared" si="47"/>
        <v>002502030710000</v>
      </c>
      <c r="G135">
        <v>15</v>
      </c>
      <c r="I135" t="str">
        <f t="shared" si="48"/>
        <v>项</v>
      </c>
      <c r="K135" t="str">
        <f>"QXZDCD（GQ）"</f>
        <v>QXZDCD（GQ）</v>
      </c>
      <c r="L135" t="str">
        <f>"WTOYIPYA"</f>
        <v>WTOYIPYA</v>
      </c>
      <c r="M135">
        <v>15</v>
      </c>
      <c r="N135">
        <v>250203071</v>
      </c>
      <c r="O135" t="str">
        <f t="shared" si="49"/>
        <v>项</v>
      </c>
      <c r="P135" t="str">
        <f t="shared" si="40"/>
        <v>检验费</v>
      </c>
    </row>
    <row r="136" spans="1:16">
      <c r="A136" t="str">
        <f>"血浆粘度测定"</f>
        <v>血浆粘度测定</v>
      </c>
      <c r="B136">
        <v>250203072</v>
      </c>
      <c r="C136" t="str">
        <f t="shared" si="37"/>
        <v>检验</v>
      </c>
      <c r="D136" t="str">
        <f>"002502030720000"</f>
        <v>002502030720000</v>
      </c>
      <c r="G136">
        <v>5</v>
      </c>
      <c r="I136" t="str">
        <f t="shared" si="48"/>
        <v>项</v>
      </c>
      <c r="K136" t="str">
        <f>"XJZDCD"</f>
        <v>XJZDCD</v>
      </c>
      <c r="L136" t="str">
        <f>"TUOYIP"</f>
        <v>TUOYIP</v>
      </c>
      <c r="M136">
        <v>5</v>
      </c>
      <c r="N136">
        <v>250203072</v>
      </c>
      <c r="O136" t="str">
        <f t="shared" si="49"/>
        <v>项</v>
      </c>
      <c r="P136" t="str">
        <f t="shared" si="40"/>
        <v>检验费</v>
      </c>
    </row>
    <row r="137" spans="1:16">
      <c r="A137" t="str">
        <f>"血清总蛋白测定化学法"</f>
        <v>血清总蛋白测定化学法</v>
      </c>
      <c r="B137" t="str">
        <f>"250301001-a"</f>
        <v>250301001-a</v>
      </c>
      <c r="C137" t="str">
        <f t="shared" si="37"/>
        <v>检验</v>
      </c>
      <c r="D137" t="str">
        <f>"002503010010000"</f>
        <v>002503010010000</v>
      </c>
      <c r="G137">
        <v>4</v>
      </c>
      <c r="I137" t="str">
        <f t="shared" si="48"/>
        <v>项</v>
      </c>
      <c r="K137" t="str">
        <f>"XQZDBCDHXF"</f>
        <v>XQZDBCDHXF</v>
      </c>
      <c r="L137" t="str">
        <f>"TIUNRIPWII"</f>
        <v>TIUNRIPWII</v>
      </c>
      <c r="M137">
        <v>4</v>
      </c>
      <c r="N137" t="str">
        <f>"250301001-a"</f>
        <v>250301001-a</v>
      </c>
      <c r="O137" t="str">
        <f t="shared" si="49"/>
        <v>项</v>
      </c>
      <c r="P137" t="str">
        <f t="shared" si="40"/>
        <v>检验费</v>
      </c>
    </row>
    <row r="138" spans="1:16">
      <c r="A138" t="str">
        <f>"血清白蛋白测定化学法"</f>
        <v>血清白蛋白测定化学法</v>
      </c>
      <c r="B138" t="str">
        <f>"250301002-a"</f>
        <v>250301002-a</v>
      </c>
      <c r="C138" t="str">
        <f t="shared" si="37"/>
        <v>检验</v>
      </c>
      <c r="D138" t="str">
        <f>"002503010020000"</f>
        <v>002503010020000</v>
      </c>
      <c r="G138">
        <v>4</v>
      </c>
      <c r="I138" t="str">
        <f t="shared" si="48"/>
        <v>项</v>
      </c>
      <c r="K138" t="str">
        <f>"XQBDBCDHXF"</f>
        <v>XQBDBCDHXF</v>
      </c>
      <c r="L138" t="str">
        <f>"TIRNRIPWII"</f>
        <v>TIRNRIPWII</v>
      </c>
      <c r="M138">
        <v>4</v>
      </c>
      <c r="N138" t="str">
        <f>"250301002-a"</f>
        <v>250301002-a</v>
      </c>
      <c r="O138" t="str">
        <f t="shared" si="49"/>
        <v>项</v>
      </c>
      <c r="P138" t="str">
        <f t="shared" si="40"/>
        <v>检验费</v>
      </c>
    </row>
    <row r="139" spans="1:16">
      <c r="A139" t="str">
        <f>"超敏C反应蛋白测定（各种免疫学方法）"</f>
        <v>超敏C反应蛋白测定（各种免疫学方法）</v>
      </c>
      <c r="B139" t="str">
        <f>"250301017-c"</f>
        <v>250301017-c</v>
      </c>
      <c r="C139" t="str">
        <f t="shared" si="37"/>
        <v>检验</v>
      </c>
      <c r="D139" t="str">
        <f>"002503010170000"</f>
        <v>002503010170000</v>
      </c>
      <c r="G139">
        <v>30</v>
      </c>
      <c r="I139" t="str">
        <f t="shared" si="48"/>
        <v>项</v>
      </c>
      <c r="K139" t="str">
        <f>"CMCFYDBCDGZMYXFF"</f>
        <v>CMCFYDBCDGZMYXFF</v>
      </c>
      <c r="L139" t="str">
        <f>"FTCRYNRIPTTQUIYI"</f>
        <v>FTCRYNRIPTTQUIYI</v>
      </c>
      <c r="M139">
        <v>35</v>
      </c>
      <c r="N139" t="str">
        <f>"250301017-c"</f>
        <v>250301017-c</v>
      </c>
      <c r="O139" t="str">
        <f t="shared" si="49"/>
        <v>项</v>
      </c>
      <c r="P139" t="str">
        <f t="shared" si="40"/>
        <v>检验费</v>
      </c>
    </row>
    <row r="140" spans="1:16">
      <c r="A140" t="str">
        <f>"人磷酸化tau-181蛋白检测"</f>
        <v>人磷酸化tau-181蛋白检测</v>
      </c>
      <c r="B140">
        <v>250301022</v>
      </c>
      <c r="C140" t="str">
        <f t="shared" si="37"/>
        <v>检验</v>
      </c>
      <c r="D140" t="str">
        <f>"322503010260000"</f>
        <v>322503010260000</v>
      </c>
      <c r="G140">
        <v>200</v>
      </c>
      <c r="I140" t="str">
        <f t="shared" si="48"/>
        <v>项</v>
      </c>
      <c r="K140" t="str">
        <f>"RLSHTAU181DBJC"</f>
        <v>RLSHTAU181DBJC</v>
      </c>
      <c r="L140" t="str">
        <f>"WDSWTAU181NRSI"</f>
        <v>WDSWTAU181NRSI</v>
      </c>
      <c r="M140">
        <v>380</v>
      </c>
      <c r="N140">
        <v>250301022</v>
      </c>
      <c r="O140" t="str">
        <f t="shared" si="49"/>
        <v>项</v>
      </c>
      <c r="P140" t="str">
        <f t="shared" si="40"/>
        <v>检验费</v>
      </c>
    </row>
    <row r="141" spans="1:16">
      <c r="A141" t="str">
        <f>"人β淀粉样蛋白1-42（Aβ1-42）检测"</f>
        <v>人β淀粉样蛋白1-42（Aβ1-42）检测</v>
      </c>
      <c r="B141">
        <v>250301023</v>
      </c>
      <c r="C141" t="str">
        <f t="shared" si="37"/>
        <v>检验</v>
      </c>
      <c r="D141" t="str">
        <f>"322503010200000"</f>
        <v>322503010200000</v>
      </c>
      <c r="G141">
        <v>200</v>
      </c>
      <c r="I141" t="str">
        <f t="shared" si="48"/>
        <v>项</v>
      </c>
      <c r="K141" t="str">
        <f>"RDFYDB142A142JC"</f>
        <v>RDFYDB142A142JC</v>
      </c>
      <c r="L141" t="str">
        <f>"WIOSNR142A142SI"</f>
        <v>WIOSNR142A142SI</v>
      </c>
      <c r="M141">
        <v>380</v>
      </c>
      <c r="N141">
        <v>250301023</v>
      </c>
      <c r="O141" t="str">
        <f t="shared" si="49"/>
        <v>项</v>
      </c>
      <c r="P141" t="str">
        <f t="shared" si="40"/>
        <v>检验费</v>
      </c>
    </row>
    <row r="142" spans="1:16">
      <c r="A142" t="str">
        <f>"葡萄糖测定"</f>
        <v>葡萄糖测定</v>
      </c>
      <c r="B142" t="str">
        <f>"250302001-1"</f>
        <v>250302001-1</v>
      </c>
      <c r="C142" t="str">
        <f t="shared" si="37"/>
        <v>检验</v>
      </c>
      <c r="D142" t="str">
        <f>"002503020010000"</f>
        <v>002503020010000</v>
      </c>
      <c r="G142">
        <v>4</v>
      </c>
      <c r="I142" t="str">
        <f>"次"</f>
        <v>次</v>
      </c>
      <c r="K142" t="str">
        <f>"PTTCD"</f>
        <v>PTTCD</v>
      </c>
      <c r="L142" t="str">
        <f>"AAOIP"</f>
        <v>AAOIP</v>
      </c>
      <c r="M142">
        <v>4</v>
      </c>
      <c r="N142">
        <v>250302001</v>
      </c>
      <c r="O142" t="str">
        <f>"次"</f>
        <v>次</v>
      </c>
      <c r="P142" t="str">
        <f t="shared" si="40"/>
        <v>检验费</v>
      </c>
    </row>
    <row r="143" spans="1:16">
      <c r="A143" t="str">
        <f>"糖化血红蛋白测定"</f>
        <v>糖化血红蛋白测定</v>
      </c>
      <c r="B143" t="str">
        <f>"250302003-a"</f>
        <v>250302003-a</v>
      </c>
      <c r="C143" t="str">
        <f t="shared" si="37"/>
        <v>检验</v>
      </c>
      <c r="D143" t="str">
        <f>"002503020030000"</f>
        <v>002503020030000</v>
      </c>
      <c r="G143">
        <v>30</v>
      </c>
      <c r="I143" t="str">
        <f>"次"</f>
        <v>次</v>
      </c>
      <c r="K143" t="str">
        <f>"THXHDBCD"</f>
        <v>THXHDBCD</v>
      </c>
      <c r="L143" t="str">
        <f>"OWTXNRIP"</f>
        <v>OWTXNRIP</v>
      </c>
      <c r="M143">
        <v>60</v>
      </c>
      <c r="N143" t="str">
        <f>"250302003-a"</f>
        <v>250302003-a</v>
      </c>
      <c r="O143" t="str">
        <f>"次"</f>
        <v>次</v>
      </c>
      <c r="P143" t="str">
        <f t="shared" si="40"/>
        <v>检验费</v>
      </c>
    </row>
    <row r="144" spans="1:16">
      <c r="A144" t="str">
        <f>"血清总胆固醇测定化学法、酶法"</f>
        <v>血清总胆固醇测定化学法、酶法</v>
      </c>
      <c r="B144" t="str">
        <f>"250303001-a"</f>
        <v>250303001-a</v>
      </c>
      <c r="C144" t="str">
        <f t="shared" si="37"/>
        <v>检验</v>
      </c>
      <c r="D144" t="str">
        <f>"002503030010000"</f>
        <v>002503030010000</v>
      </c>
      <c r="G144">
        <v>4</v>
      </c>
      <c r="I144" t="str">
        <f t="shared" ref="I144:I149" si="50">"项"</f>
        <v>项</v>
      </c>
      <c r="K144" t="str">
        <f>"XQZDGCCDHXFMF"</f>
        <v>XQZDGCCDHXFMF</v>
      </c>
      <c r="L144" t="str">
        <f>"TIUELSIPWIISI"</f>
        <v>TIUELSIPWIISI</v>
      </c>
      <c r="M144">
        <v>4</v>
      </c>
      <c r="N144" t="str">
        <f>"250303001-a"</f>
        <v>250303001-a</v>
      </c>
      <c r="O144" t="str">
        <f t="shared" ref="O144:O164" si="51">"项"</f>
        <v>项</v>
      </c>
      <c r="P144" t="str">
        <f t="shared" si="40"/>
        <v>检验费</v>
      </c>
    </row>
    <row r="145" spans="1:16">
      <c r="A145" t="str">
        <f>"血清甘油三酯测定化学法、酶法"</f>
        <v>血清甘油三酯测定化学法、酶法</v>
      </c>
      <c r="B145" t="str">
        <f>"250303002-a"</f>
        <v>250303002-a</v>
      </c>
      <c r="C145" t="str">
        <f t="shared" si="37"/>
        <v>检验</v>
      </c>
      <c r="D145" t="str">
        <f>"002503030020000"</f>
        <v>002503030020000</v>
      </c>
      <c r="G145">
        <v>5</v>
      </c>
      <c r="I145" t="str">
        <f t="shared" si="50"/>
        <v>项</v>
      </c>
      <c r="K145" t="str">
        <f>"XQGYSZCDHXFZMF"</f>
        <v>XQGYSZCDHXFZMF</v>
      </c>
      <c r="L145" t="str">
        <f>"TIAIDSIPWIISI"</f>
        <v>TIAIDSIPWIISI</v>
      </c>
      <c r="M145">
        <v>5</v>
      </c>
      <c r="N145" t="str">
        <f>"250303002-a"</f>
        <v>250303002-a</v>
      </c>
      <c r="O145" t="str">
        <f t="shared" si="51"/>
        <v>项</v>
      </c>
      <c r="P145" t="str">
        <f t="shared" si="40"/>
        <v>检验费</v>
      </c>
    </row>
    <row r="146" spans="1:16">
      <c r="A146" t="str">
        <f>"血清高密度脂蛋白胆固醇测定"</f>
        <v>血清高密度脂蛋白胆固醇测定</v>
      </c>
      <c r="B146">
        <v>250303004</v>
      </c>
      <c r="C146" t="str">
        <f t="shared" si="37"/>
        <v>检验</v>
      </c>
      <c r="D146" t="str">
        <f>"002503030040000"</f>
        <v>002503030040000</v>
      </c>
      <c r="G146">
        <v>8</v>
      </c>
      <c r="I146" t="str">
        <f t="shared" si="50"/>
        <v>项</v>
      </c>
      <c r="K146" t="str">
        <f>"XQGMDZDBDGCCD"</f>
        <v>XQGMDZDBDGCCD</v>
      </c>
      <c r="L146" t="str">
        <f>"TIYPYENRELSIP"</f>
        <v>TIYPYENRELSIP</v>
      </c>
      <c r="M146">
        <v>8</v>
      </c>
      <c r="N146">
        <v>250303004</v>
      </c>
      <c r="O146" t="str">
        <f t="shared" si="51"/>
        <v>项</v>
      </c>
      <c r="P146" t="str">
        <f t="shared" si="40"/>
        <v>检验费</v>
      </c>
    </row>
    <row r="147" spans="1:16">
      <c r="A147" t="str">
        <f>"血清低密度脂蛋白胆固醇测定其他方法"</f>
        <v>血清低密度脂蛋白胆固醇测定其他方法</v>
      </c>
      <c r="B147" t="str">
        <f>"250303005-a"</f>
        <v>250303005-a</v>
      </c>
      <c r="C147" t="str">
        <f t="shared" si="37"/>
        <v>检验</v>
      </c>
      <c r="D147" t="str">
        <f>"002503030050000"</f>
        <v>002503030050000</v>
      </c>
      <c r="G147">
        <v>8</v>
      </c>
      <c r="I147" t="str">
        <f t="shared" si="50"/>
        <v>项</v>
      </c>
      <c r="K147" t="str">
        <f>"XQDMDZDBDGCCDQTF"</f>
        <v>XQDMDZDBDGCCDQTF</v>
      </c>
      <c r="L147" t="str">
        <f>"TIWPYENRELSIPAWY"</f>
        <v>TIWPYENRELSIPAWY</v>
      </c>
      <c r="M147">
        <v>10</v>
      </c>
      <c r="N147" t="str">
        <f>"250303005-a"</f>
        <v>250303005-a</v>
      </c>
      <c r="O147" t="str">
        <f t="shared" si="51"/>
        <v>项</v>
      </c>
      <c r="P147" t="str">
        <f t="shared" si="40"/>
        <v>检验费</v>
      </c>
    </row>
    <row r="148" spans="1:16">
      <c r="A148" t="str">
        <f>"血清载脂蛋白AⅠ测定"</f>
        <v>血清载脂蛋白AⅠ测定</v>
      </c>
      <c r="B148">
        <v>250303007</v>
      </c>
      <c r="C148" t="str">
        <f t="shared" si="37"/>
        <v>检验</v>
      </c>
      <c r="D148" t="str">
        <f>"002503030070000"</f>
        <v>002503030070000</v>
      </c>
      <c r="G148">
        <v>25</v>
      </c>
      <c r="I148" t="str">
        <f t="shared" si="50"/>
        <v>项</v>
      </c>
      <c r="K148" t="str">
        <f>"XQZZDBAⅠCD"</f>
        <v>XQZZDBAⅠCD</v>
      </c>
      <c r="L148" t="str">
        <f>"TIFENRaIP"</f>
        <v>TIFENRaIP</v>
      </c>
      <c r="M148">
        <v>25</v>
      </c>
      <c r="N148">
        <v>250303007</v>
      </c>
      <c r="O148" t="str">
        <f t="shared" si="51"/>
        <v>项</v>
      </c>
      <c r="P148" t="str">
        <f t="shared" si="40"/>
        <v>检验费</v>
      </c>
    </row>
    <row r="149" spans="1:16">
      <c r="A149" t="str">
        <f>"血清载脂蛋白B测定"</f>
        <v>血清载脂蛋白B测定</v>
      </c>
      <c r="B149">
        <v>250303009</v>
      </c>
      <c r="C149" t="str">
        <f t="shared" si="37"/>
        <v>检验</v>
      </c>
      <c r="D149" t="str">
        <f>"002503030090000"</f>
        <v>002503030090000</v>
      </c>
      <c r="G149">
        <v>25</v>
      </c>
      <c r="I149" t="str">
        <f t="shared" si="50"/>
        <v>项</v>
      </c>
      <c r="K149" t="str">
        <f>"XQZZDBBCD"</f>
        <v>XQZZDBBCD</v>
      </c>
      <c r="L149" t="str">
        <f>"TIFENRbIP"</f>
        <v>TIFENRbIP</v>
      </c>
      <c r="M149">
        <v>25</v>
      </c>
      <c r="N149">
        <v>250303009</v>
      </c>
      <c r="O149" t="str">
        <f t="shared" si="51"/>
        <v>项</v>
      </c>
      <c r="P149" t="str">
        <f t="shared" si="40"/>
        <v>检验费</v>
      </c>
    </row>
    <row r="150" spans="1:16">
      <c r="A150" t="str">
        <f>"血清载脂蛋白α测定（免疫比浊法）"</f>
        <v>血清载脂蛋白α测定（免疫比浊法）</v>
      </c>
      <c r="B150">
        <v>250303013</v>
      </c>
      <c r="C150" t="str">
        <f t="shared" si="37"/>
        <v>检验</v>
      </c>
      <c r="D150" t="str">
        <f>"002503030130000"</f>
        <v>002503030130000</v>
      </c>
      <c r="G150">
        <v>25</v>
      </c>
      <c r="I150" t="str">
        <f>"-"</f>
        <v>-</v>
      </c>
      <c r="K150" t="str">
        <f>"XQZZDBACDMYBZF"</f>
        <v>XQZZDBACDMYBZF</v>
      </c>
      <c r="L150" t="str">
        <f>"TIFENRIPQUXII"</f>
        <v>TIFENRIPQUXII</v>
      </c>
      <c r="M150">
        <v>25</v>
      </c>
      <c r="N150">
        <v>250303013</v>
      </c>
      <c r="O150" t="str">
        <f t="shared" si="51"/>
        <v>项</v>
      </c>
      <c r="P150" t="str">
        <f t="shared" si="40"/>
        <v>检验费</v>
      </c>
    </row>
    <row r="151" spans="1:16">
      <c r="A151" t="str">
        <f>"钾测定"</f>
        <v>钾测定</v>
      </c>
      <c r="B151">
        <v>250304001</v>
      </c>
      <c r="C151" t="str">
        <f t="shared" si="37"/>
        <v>检验</v>
      </c>
      <c r="D151" t="str">
        <f>"002503040010000"</f>
        <v>002503040010000</v>
      </c>
      <c r="G151">
        <v>4</v>
      </c>
      <c r="I151" t="str">
        <f t="shared" ref="I151:I163" si="52">"项"</f>
        <v>项</v>
      </c>
      <c r="K151" t="str">
        <f>"JCD"</f>
        <v>JCD</v>
      </c>
      <c r="L151" t="str">
        <f t="shared" ref="L151:L154" si="53">"QIP"</f>
        <v>QIP</v>
      </c>
      <c r="M151">
        <v>4</v>
      </c>
      <c r="N151">
        <v>250304001</v>
      </c>
      <c r="O151" t="str">
        <f t="shared" si="51"/>
        <v>项</v>
      </c>
      <c r="P151" t="str">
        <f t="shared" si="40"/>
        <v>检验费</v>
      </c>
    </row>
    <row r="152" spans="1:16">
      <c r="A152" t="str">
        <f>"钠测定"</f>
        <v>钠测定</v>
      </c>
      <c r="B152">
        <v>250304002</v>
      </c>
      <c r="C152" t="str">
        <f t="shared" si="37"/>
        <v>检验</v>
      </c>
      <c r="D152" t="str">
        <f>"002503040020000"</f>
        <v>002503040020000</v>
      </c>
      <c r="G152">
        <v>4</v>
      </c>
      <c r="I152" t="str">
        <f t="shared" si="52"/>
        <v>项</v>
      </c>
      <c r="K152" t="str">
        <f>"NCD"</f>
        <v>NCD</v>
      </c>
      <c r="L152" t="str">
        <f t="shared" si="53"/>
        <v>QIP</v>
      </c>
      <c r="M152">
        <v>4</v>
      </c>
      <c r="N152">
        <v>250304002</v>
      </c>
      <c r="O152" t="str">
        <f t="shared" si="51"/>
        <v>项</v>
      </c>
      <c r="P152" t="str">
        <f t="shared" si="40"/>
        <v>检验费</v>
      </c>
    </row>
    <row r="153" spans="1:16">
      <c r="A153" t="str">
        <f>"氯测定"</f>
        <v>氯测定</v>
      </c>
      <c r="B153">
        <v>250304003</v>
      </c>
      <c r="C153" t="str">
        <f t="shared" si="37"/>
        <v>检验</v>
      </c>
      <c r="D153" t="str">
        <f>"002503040030000"</f>
        <v>002503040030000</v>
      </c>
      <c r="G153">
        <v>4</v>
      </c>
      <c r="I153" t="str">
        <f t="shared" si="52"/>
        <v>项</v>
      </c>
      <c r="K153" t="str">
        <f>"LCD"</f>
        <v>LCD</v>
      </c>
      <c r="L153" t="str">
        <f>"RIP"</f>
        <v>RIP</v>
      </c>
      <c r="M153">
        <v>4</v>
      </c>
      <c r="N153">
        <v>250304003</v>
      </c>
      <c r="O153" t="str">
        <f t="shared" si="51"/>
        <v>项</v>
      </c>
      <c r="P153" t="str">
        <f t="shared" si="40"/>
        <v>检验费</v>
      </c>
    </row>
    <row r="154" spans="1:16">
      <c r="A154" t="str">
        <f>"钙测定"</f>
        <v>钙测定</v>
      </c>
      <c r="B154">
        <v>250304004</v>
      </c>
      <c r="C154" t="str">
        <f t="shared" si="37"/>
        <v>检验</v>
      </c>
      <c r="D154" t="str">
        <f>"002503040040000"</f>
        <v>002503040040000</v>
      </c>
      <c r="G154">
        <v>4</v>
      </c>
      <c r="I154" t="str">
        <f t="shared" si="52"/>
        <v>项</v>
      </c>
      <c r="K154" t="str">
        <f>"GCD"</f>
        <v>GCD</v>
      </c>
      <c r="L154" t="str">
        <f t="shared" si="53"/>
        <v>QIP</v>
      </c>
      <c r="M154">
        <v>4</v>
      </c>
      <c r="N154">
        <v>250304004</v>
      </c>
      <c r="O154" t="str">
        <f t="shared" si="51"/>
        <v>项</v>
      </c>
      <c r="P154" t="str">
        <f t="shared" si="40"/>
        <v>检验费</v>
      </c>
    </row>
    <row r="155" spans="1:16">
      <c r="A155" t="str">
        <f>"无机磷测定"</f>
        <v>无机磷测定</v>
      </c>
      <c r="B155">
        <v>250304005</v>
      </c>
      <c r="C155" t="str">
        <f t="shared" si="37"/>
        <v>检验</v>
      </c>
      <c r="D155" t="str">
        <f>"002503040050000"</f>
        <v>002503040050000</v>
      </c>
      <c r="G155">
        <v>4</v>
      </c>
      <c r="I155" t="str">
        <f t="shared" si="52"/>
        <v>项</v>
      </c>
      <c r="K155" t="str">
        <f>"WJLCD"</f>
        <v>WJLCD</v>
      </c>
      <c r="L155" t="str">
        <f>"FSDIP"</f>
        <v>FSDIP</v>
      </c>
      <c r="M155">
        <v>4</v>
      </c>
      <c r="N155">
        <v>250304005</v>
      </c>
      <c r="O155" t="str">
        <f t="shared" si="51"/>
        <v>项</v>
      </c>
      <c r="P155" t="str">
        <f t="shared" si="40"/>
        <v>检验费</v>
      </c>
    </row>
    <row r="156" spans="1:16">
      <c r="A156" t="str">
        <f>"镁测定"</f>
        <v>镁测定</v>
      </c>
      <c r="B156">
        <v>250304006</v>
      </c>
      <c r="C156" t="str">
        <f t="shared" si="37"/>
        <v>检验</v>
      </c>
      <c r="D156" t="str">
        <f>"002503040060000"</f>
        <v>002503040060000</v>
      </c>
      <c r="G156">
        <v>3</v>
      </c>
      <c r="I156" t="str">
        <f t="shared" si="52"/>
        <v>项</v>
      </c>
      <c r="K156" t="str">
        <f>"MCD"</f>
        <v>MCD</v>
      </c>
      <c r="L156" t="str">
        <f>"QIP"</f>
        <v>QIP</v>
      </c>
      <c r="M156">
        <v>3</v>
      </c>
      <c r="N156">
        <v>250304006</v>
      </c>
      <c r="O156" t="str">
        <f t="shared" si="51"/>
        <v>项</v>
      </c>
      <c r="P156" t="str">
        <f t="shared" si="40"/>
        <v>检验费</v>
      </c>
    </row>
    <row r="157" spans="1:16">
      <c r="A157" t="str">
        <f>"血清总胆红素测定"</f>
        <v>血清总胆红素测定</v>
      </c>
      <c r="B157">
        <v>250305001</v>
      </c>
      <c r="C157" t="str">
        <f t="shared" si="37"/>
        <v>检验</v>
      </c>
      <c r="D157" t="str">
        <f>"002503050010000"</f>
        <v>002503050010000</v>
      </c>
      <c r="G157">
        <v>4</v>
      </c>
      <c r="I157" t="str">
        <f t="shared" si="52"/>
        <v>项</v>
      </c>
      <c r="K157" t="str">
        <f>"XQZDHSCD"</f>
        <v>XQZDHSCD</v>
      </c>
      <c r="L157" t="str">
        <f>"TIUEXGIP"</f>
        <v>TIUEXGIP</v>
      </c>
      <c r="M157">
        <v>4</v>
      </c>
      <c r="N157">
        <v>250305001</v>
      </c>
      <c r="O157" t="str">
        <f t="shared" si="51"/>
        <v>项</v>
      </c>
      <c r="P157" t="str">
        <f t="shared" si="40"/>
        <v>检验费</v>
      </c>
    </row>
    <row r="158" spans="1:16">
      <c r="A158" t="str">
        <f>"血清直接胆红素测定"</f>
        <v>血清直接胆红素测定</v>
      </c>
      <c r="B158">
        <v>250305002</v>
      </c>
      <c r="C158" t="str">
        <f t="shared" si="37"/>
        <v>检验</v>
      </c>
      <c r="D158" t="str">
        <f>"002503050020000"</f>
        <v>002503050020000</v>
      </c>
      <c r="G158">
        <v>4</v>
      </c>
      <c r="I158" t="str">
        <f t="shared" si="52"/>
        <v>项</v>
      </c>
      <c r="K158" t="str">
        <f>"XQZJDHSCD"</f>
        <v>XQZJDHSCD</v>
      </c>
      <c r="L158" t="str">
        <f>"TIFREXGIP"</f>
        <v>TIFREXGIP</v>
      </c>
      <c r="M158">
        <v>4</v>
      </c>
      <c r="N158">
        <v>250305002</v>
      </c>
      <c r="O158" t="str">
        <f t="shared" si="51"/>
        <v>项</v>
      </c>
      <c r="P158" t="str">
        <f t="shared" si="40"/>
        <v>检验费</v>
      </c>
    </row>
    <row r="159" spans="1:16">
      <c r="A159" t="str">
        <f>"血清总胆汁酸测定"</f>
        <v>血清总胆汁酸测定</v>
      </c>
      <c r="B159">
        <v>250305005</v>
      </c>
      <c r="C159" t="str">
        <f t="shared" si="37"/>
        <v>检验</v>
      </c>
      <c r="D159" t="str">
        <f>"002503050050000"</f>
        <v>002503050050000</v>
      </c>
      <c r="G159">
        <v>8</v>
      </c>
      <c r="I159" t="str">
        <f t="shared" si="52"/>
        <v>项</v>
      </c>
      <c r="K159" t="str">
        <f>"XQZDZSCD"</f>
        <v>XQZDZSCD</v>
      </c>
      <c r="L159" t="str">
        <f>"TIUEISIP"</f>
        <v>TIUEISIP</v>
      </c>
      <c r="M159">
        <v>8</v>
      </c>
      <c r="N159">
        <v>250305005</v>
      </c>
      <c r="O159" t="str">
        <f t="shared" si="51"/>
        <v>项</v>
      </c>
      <c r="P159" t="str">
        <f t="shared" si="40"/>
        <v>检验费</v>
      </c>
    </row>
    <row r="160" spans="1:16">
      <c r="A160" t="str">
        <f>"(ALT)血清丙氨酸氨基转移酶测定"</f>
        <v>(ALT)血清丙氨酸氨基转移酶测定</v>
      </c>
      <c r="B160" t="str">
        <f>"250305007-b"</f>
        <v>250305007-b</v>
      </c>
      <c r="C160" t="str">
        <f t="shared" si="37"/>
        <v>检验</v>
      </c>
      <c r="D160" t="str">
        <f>"002503050070000"</f>
        <v>002503050070000</v>
      </c>
      <c r="G160">
        <v>5</v>
      </c>
      <c r="I160" t="str">
        <f t="shared" si="52"/>
        <v>项</v>
      </c>
      <c r="K160" t="str">
        <f>"XQBASAJZYMCD"</f>
        <v>XQBASAJZYMCD</v>
      </c>
      <c r="L160" t="str">
        <f>"TIGRSRALTSIP"</f>
        <v>TIGRSRALTSIP</v>
      </c>
      <c r="M160">
        <v>5</v>
      </c>
      <c r="N160" t="str">
        <f>"250305007-b"</f>
        <v>250305007-b</v>
      </c>
      <c r="O160" t="str">
        <f t="shared" si="51"/>
        <v>项</v>
      </c>
      <c r="P160" t="str">
        <f t="shared" si="40"/>
        <v>检验费</v>
      </c>
    </row>
    <row r="161" spans="1:16">
      <c r="A161" t="str">
        <f>"(AST)血清天门冬氨酸氨基转移酶测定速率法"</f>
        <v>(AST)血清天门冬氨酸氨基转移酶测定速率法</v>
      </c>
      <c r="B161" t="str">
        <f>"250305008-b"</f>
        <v>250305008-b</v>
      </c>
      <c r="C161" t="str">
        <f t="shared" si="37"/>
        <v>检验</v>
      </c>
      <c r="D161" t="str">
        <f>"002503050080000"</f>
        <v>002503050080000</v>
      </c>
      <c r="G161">
        <v>5</v>
      </c>
      <c r="I161" t="str">
        <f t="shared" si="52"/>
        <v>项</v>
      </c>
      <c r="K161" t="str">
        <f>"XQTMDASAJZY"</f>
        <v>XQTMDASAJZY</v>
      </c>
      <c r="L161" t="str">
        <f>"ASTTIGUTRSRALTSI"</f>
        <v>ASTTIGUTRSRALTSI</v>
      </c>
      <c r="M161">
        <v>5</v>
      </c>
      <c r="N161" t="str">
        <f>"250305008-b"</f>
        <v>250305008-b</v>
      </c>
      <c r="O161" t="str">
        <f t="shared" si="51"/>
        <v>项</v>
      </c>
      <c r="P161" t="str">
        <f t="shared" si="40"/>
        <v>检验费</v>
      </c>
    </row>
    <row r="162" spans="1:16">
      <c r="A162" t="str">
        <f>"血清γ-谷氨酰基转移酶测定速率法"</f>
        <v>血清γ-谷氨酰基转移酶测定速率法</v>
      </c>
      <c r="B162" t="str">
        <f>"250305009-b"</f>
        <v>250305009-b</v>
      </c>
      <c r="C162" t="str">
        <f t="shared" si="37"/>
        <v>检验</v>
      </c>
      <c r="D162" t="str">
        <f>"002503050090000"</f>
        <v>002503050090000</v>
      </c>
      <c r="G162">
        <v>5</v>
      </c>
      <c r="I162" t="str">
        <f t="shared" si="52"/>
        <v>项</v>
      </c>
      <c r="K162" t="str">
        <f>"XQΓ-GAXJZYMCDSLF"</f>
        <v>XQΓ-GAXJZYMCDSLF</v>
      </c>
      <c r="L162" t="str">
        <f>"TI-WRSALTSIPGYI"</f>
        <v>TI-WRSALTSIPGYI</v>
      </c>
      <c r="M162">
        <v>5</v>
      </c>
      <c r="N162" t="str">
        <f>"250305009-b"</f>
        <v>250305009-b</v>
      </c>
      <c r="O162" t="str">
        <f t="shared" si="51"/>
        <v>项</v>
      </c>
      <c r="P162" t="str">
        <f t="shared" si="40"/>
        <v>检验费</v>
      </c>
    </row>
    <row r="163" spans="1:16">
      <c r="A163" t="str">
        <f>"血清碱性磷酸酶测定速率法(ALP)"</f>
        <v>血清碱性磷酸酶测定速率法(ALP)</v>
      </c>
      <c r="B163" t="str">
        <f>"250305011-b"</f>
        <v>250305011-b</v>
      </c>
      <c r="C163" t="str">
        <f t="shared" si="37"/>
        <v>检验</v>
      </c>
      <c r="D163" t="str">
        <f>"002503050110000"</f>
        <v>002503050110000</v>
      </c>
      <c r="G163">
        <v>5</v>
      </c>
      <c r="I163" t="str">
        <f t="shared" si="52"/>
        <v>项</v>
      </c>
      <c r="K163" t="str">
        <f>"XQJXLSMCDSLFALP"</f>
        <v>XQJXLSMCDSLFALP</v>
      </c>
      <c r="L163" t="str">
        <f>"TIDNDSSIPGYIALP"</f>
        <v>TIDNDSSIPGYIALP</v>
      </c>
      <c r="M163">
        <v>5</v>
      </c>
      <c r="N163" t="str">
        <f>"250305011-b"</f>
        <v>250305011-b</v>
      </c>
      <c r="O163" t="str">
        <f t="shared" si="51"/>
        <v>项</v>
      </c>
      <c r="P163" t="str">
        <f t="shared" si="40"/>
        <v>检验费</v>
      </c>
    </row>
    <row r="164" spans="1:16">
      <c r="A164" t="str">
        <f>"血清胆碱酯酶测定（速率法）"</f>
        <v>血清胆碱酯酶测定（速率法）</v>
      </c>
      <c r="B164">
        <v>250305014</v>
      </c>
      <c r="C164" t="str">
        <f t="shared" si="37"/>
        <v>检验</v>
      </c>
      <c r="D164" t="str">
        <f>"002503050140000"</f>
        <v>002503050140000</v>
      </c>
      <c r="G164">
        <v>5</v>
      </c>
      <c r="I164" t="str">
        <f t="shared" ref="I164:I170" si="54">"-"</f>
        <v>-</v>
      </c>
      <c r="K164" t="str">
        <f>"XQDJZMCDSLF"</f>
        <v>XQDJZMCDSLF</v>
      </c>
      <c r="L164" t="str">
        <f>"TIEDESIPGYI"</f>
        <v>TIEDESIPGYI</v>
      </c>
      <c r="M164">
        <v>5</v>
      </c>
      <c r="N164">
        <v>250305014</v>
      </c>
      <c r="O164" t="str">
        <f t="shared" si="51"/>
        <v>项</v>
      </c>
      <c r="P164" t="str">
        <f t="shared" si="40"/>
        <v>检验费</v>
      </c>
    </row>
    <row r="165" spans="1:16">
      <c r="A165" t="str">
        <f>"血清Ⅳ型胶原测定"</f>
        <v>血清Ⅳ型胶原测定</v>
      </c>
      <c r="B165">
        <v>250305018</v>
      </c>
      <c r="C165" t="str">
        <f t="shared" si="37"/>
        <v>检验</v>
      </c>
      <c r="D165" t="str">
        <f>"002503050180000"</f>
        <v>002503050180000</v>
      </c>
      <c r="G165">
        <v>30</v>
      </c>
      <c r="I165" t="str">
        <f t="shared" si="54"/>
        <v>-</v>
      </c>
      <c r="K165" t="str">
        <f>"XQ4XJYCD"</f>
        <v>XQ4XJYCD</v>
      </c>
      <c r="L165" t="str">
        <f>"TIGEDIP"</f>
        <v>TIGEDIP</v>
      </c>
      <c r="M165">
        <v>30</v>
      </c>
      <c r="N165">
        <v>250305018</v>
      </c>
      <c r="O165" t="str">
        <f t="shared" ref="O165:O168" si="55">"次"</f>
        <v>次</v>
      </c>
      <c r="P165" t="str">
        <f t="shared" si="40"/>
        <v>检验费</v>
      </c>
    </row>
    <row r="166" spans="1:16">
      <c r="A166" t="str">
        <f>"血清Ⅲ型胶原测定"</f>
        <v>血清Ⅲ型胶原测定</v>
      </c>
      <c r="B166">
        <v>250305019</v>
      </c>
      <c r="C166" t="str">
        <f t="shared" si="37"/>
        <v>检验</v>
      </c>
      <c r="D166" t="str">
        <f>"002503050190000"</f>
        <v>002503050190000</v>
      </c>
      <c r="G166">
        <v>30</v>
      </c>
      <c r="I166" t="str">
        <f t="shared" si="54"/>
        <v>-</v>
      </c>
      <c r="K166" t="str">
        <f>"XQ3XJYCD"</f>
        <v>XQ3XJYCD</v>
      </c>
      <c r="L166" t="str">
        <f>"TIGEDIP"</f>
        <v>TIGEDIP</v>
      </c>
      <c r="M166">
        <v>30</v>
      </c>
      <c r="N166">
        <v>250305019</v>
      </c>
      <c r="O166" t="str">
        <f t="shared" si="55"/>
        <v>次</v>
      </c>
      <c r="P166" t="str">
        <f t="shared" si="40"/>
        <v>检验费</v>
      </c>
    </row>
    <row r="167" spans="1:16">
      <c r="A167" t="str">
        <f>"血清层粘连蛋白测定"</f>
        <v>血清层粘连蛋白测定</v>
      </c>
      <c r="B167">
        <v>250305020</v>
      </c>
      <c r="C167" t="str">
        <f t="shared" si="37"/>
        <v>检验</v>
      </c>
      <c r="D167" t="str">
        <f>"002503050200000"</f>
        <v>002503050200000</v>
      </c>
      <c r="G167">
        <v>30</v>
      </c>
      <c r="I167" t="str">
        <f t="shared" si="54"/>
        <v>-</v>
      </c>
      <c r="K167" t="str">
        <f>"XQCZLDBCD"</f>
        <v>XQCZLDBCD</v>
      </c>
      <c r="L167" t="str">
        <f>"TINOLNRIP"</f>
        <v>TINOLNRIP</v>
      </c>
      <c r="M167">
        <v>30</v>
      </c>
      <c r="N167">
        <v>250305020</v>
      </c>
      <c r="O167" t="str">
        <f t="shared" si="55"/>
        <v>次</v>
      </c>
      <c r="P167" t="str">
        <f t="shared" si="40"/>
        <v>检验费</v>
      </c>
    </row>
    <row r="168" spans="1:16">
      <c r="A168" t="str">
        <f>"血清透明质酸酶测定"</f>
        <v>血清透明质酸酶测定</v>
      </c>
      <c r="B168">
        <v>250305022</v>
      </c>
      <c r="C168" t="str">
        <f t="shared" si="37"/>
        <v>检验</v>
      </c>
      <c r="D168" t="str">
        <f>"002503050220000"</f>
        <v>002503050220000</v>
      </c>
      <c r="G168">
        <v>30</v>
      </c>
      <c r="I168" t="str">
        <f t="shared" si="54"/>
        <v>-</v>
      </c>
      <c r="K168" t="str">
        <f>"XQTMZSMCD"</f>
        <v>XQTMZSMCD</v>
      </c>
      <c r="L168" t="str">
        <f>"TITJRSSIP"</f>
        <v>TITJRSSIP</v>
      </c>
      <c r="M168">
        <v>30</v>
      </c>
      <c r="N168">
        <v>250305022</v>
      </c>
      <c r="O168" t="str">
        <f t="shared" si="55"/>
        <v>次</v>
      </c>
      <c r="P168" t="str">
        <f t="shared" si="40"/>
        <v>检验费</v>
      </c>
    </row>
    <row r="169" spans="1:16">
      <c r="A169" t="str">
        <f>"血清肌酸激酶测定（速率法）"</f>
        <v>血清肌酸激酶测定（速率法）</v>
      </c>
      <c r="B169" t="str">
        <f>"250306001-a"</f>
        <v>250306001-a</v>
      </c>
      <c r="C169" t="str">
        <f t="shared" si="37"/>
        <v>检验</v>
      </c>
      <c r="D169" t="str">
        <f>"002503060010000"</f>
        <v>002503060010000</v>
      </c>
      <c r="G169">
        <v>5</v>
      </c>
      <c r="I169" t="str">
        <f t="shared" si="54"/>
        <v>-</v>
      </c>
      <c r="K169" t="str">
        <f>"XQJSJMCDSLF"</f>
        <v>XQJSJMCDSLF</v>
      </c>
      <c r="L169" t="str">
        <f>"TIESISIPGYI"</f>
        <v>TIESISIPGYI</v>
      </c>
      <c r="M169">
        <v>5</v>
      </c>
      <c r="N169" t="str">
        <f>"250306001-a"</f>
        <v>250306001-a</v>
      </c>
      <c r="O169" t="str">
        <f t="shared" ref="O169:O187" si="56">"项"</f>
        <v>项</v>
      </c>
      <c r="P169" t="str">
        <f t="shared" si="40"/>
        <v>检验费</v>
      </c>
    </row>
    <row r="170" spans="1:16">
      <c r="A170" t="str">
        <f>"血清肌酸激酶-MB同工酶活性测定（速率法）"</f>
        <v>血清肌酸激酶-MB同工酶活性测定（速率法）</v>
      </c>
      <c r="B170" t="str">
        <f>"250306002-b"</f>
        <v>250306002-b</v>
      </c>
      <c r="C170" t="str">
        <f t="shared" si="37"/>
        <v>检验</v>
      </c>
      <c r="D170" t="str">
        <f>"002503060020000"</f>
        <v>002503060020000</v>
      </c>
      <c r="G170">
        <v>5</v>
      </c>
      <c r="I170" t="str">
        <f t="shared" si="54"/>
        <v>-</v>
      </c>
      <c r="K170" t="str">
        <f>"XQJSJM-MBTGMHXCDSLF"</f>
        <v>XQJSJM-MBTGMHXCDSLF</v>
      </c>
      <c r="L170" t="str">
        <f>"TIESIS-MBMASINIPGYI"</f>
        <v>TIESIS-MBMASINIPGYI</v>
      </c>
      <c r="M170">
        <v>5</v>
      </c>
      <c r="N170" t="str">
        <f>"250306002-b"</f>
        <v>250306002-b</v>
      </c>
      <c r="O170" t="str">
        <f t="shared" si="56"/>
        <v>项</v>
      </c>
      <c r="P170" t="str">
        <f t="shared" si="40"/>
        <v>检验费</v>
      </c>
    </row>
    <row r="171" spans="1:16">
      <c r="A171" t="str">
        <f>"血清肌酸激酶－MB同工酶质量测定"</f>
        <v>血清肌酸激酶－MB同工酶质量测定</v>
      </c>
      <c r="B171" t="str">
        <f>"250306003-b"</f>
        <v>250306003-b</v>
      </c>
      <c r="C171" t="str">
        <f t="shared" si="37"/>
        <v>检验</v>
      </c>
      <c r="D171" t="str">
        <f>"002503060030000"</f>
        <v>002503060030000</v>
      </c>
      <c r="G171">
        <v>60</v>
      </c>
      <c r="I171" t="str">
        <f t="shared" ref="I171:I182" si="57">"项"</f>
        <v>项</v>
      </c>
      <c r="K171" t="str">
        <f>"XQJSJMZMBTGMZLCD"</f>
        <v>XQJSJMZMBTGMZLCD</v>
      </c>
      <c r="L171" t="str">
        <f>"TIESISmbMASRJIP"</f>
        <v>TIESISmbMASRJIP</v>
      </c>
      <c r="M171">
        <v>70</v>
      </c>
      <c r="N171" t="str">
        <f>"250306003-b"</f>
        <v>250306003-b</v>
      </c>
      <c r="O171" t="str">
        <f t="shared" si="56"/>
        <v>项</v>
      </c>
      <c r="P171" t="str">
        <f t="shared" si="40"/>
        <v>检验费</v>
      </c>
    </row>
    <row r="172" spans="1:16">
      <c r="A172" t="str">
        <f>"(LDH)乳酸脱氢酶测定"</f>
        <v>(LDH)乳酸脱氢酶测定</v>
      </c>
      <c r="B172" t="str">
        <f>"250306005-a"</f>
        <v>250306005-a</v>
      </c>
      <c r="C172" t="str">
        <f t="shared" si="37"/>
        <v>检验</v>
      </c>
      <c r="D172" t="str">
        <f>"002503060050000"</f>
        <v>002503060050000</v>
      </c>
      <c r="G172">
        <v>5</v>
      </c>
      <c r="I172" t="str">
        <f t="shared" si="57"/>
        <v>项</v>
      </c>
      <c r="K172" t="str">
        <f>"RSTQMCD"</f>
        <v>RSTQMCD</v>
      </c>
      <c r="L172" t="str">
        <f>"ESERSIP"</f>
        <v>ESERSIP</v>
      </c>
      <c r="M172">
        <v>5</v>
      </c>
      <c r="N172" t="str">
        <f>"250306005-a"</f>
        <v>250306005-a</v>
      </c>
      <c r="O172" t="str">
        <f t="shared" si="56"/>
        <v>项</v>
      </c>
      <c r="P172" t="str">
        <f t="shared" si="40"/>
        <v>检验费</v>
      </c>
    </row>
    <row r="173" spans="1:16">
      <c r="A173" t="str">
        <f>"血清α羟基丁酸脱氢酶测定速率法"</f>
        <v>血清α羟基丁酸脱氢酶测定速率法</v>
      </c>
      <c r="B173">
        <v>250306007</v>
      </c>
      <c r="C173" t="str">
        <f t="shared" si="37"/>
        <v>检验</v>
      </c>
      <c r="D173" t="str">
        <f>"002503060070000"</f>
        <v>002503060070000</v>
      </c>
      <c r="G173">
        <v>10</v>
      </c>
      <c r="I173" t="str">
        <f t="shared" si="57"/>
        <v>项</v>
      </c>
      <c r="K173" t="str">
        <f>"XQΑQJDSTQMCDSLF"</f>
        <v>XQΑQJDSTQMCDSLF</v>
      </c>
      <c r="L173" t="str">
        <f>"TIUASSERSIPGYI"</f>
        <v>TIUASSERSIPGYI</v>
      </c>
      <c r="M173">
        <v>10</v>
      </c>
      <c r="N173">
        <v>250306007</v>
      </c>
      <c r="O173" t="str">
        <f t="shared" si="56"/>
        <v>项</v>
      </c>
      <c r="P173" t="str">
        <f t="shared" si="40"/>
        <v>检验费</v>
      </c>
    </row>
    <row r="174" spans="1:16">
      <c r="A174" t="str">
        <f>"血清肌钙蛋白T测定化学发光法"</f>
        <v>血清肌钙蛋白T测定化学发光法</v>
      </c>
      <c r="B174" t="str">
        <f>"250306008-a"</f>
        <v>250306008-a</v>
      </c>
      <c r="C174" t="str">
        <f t="shared" si="37"/>
        <v>检验</v>
      </c>
      <c r="D174" t="str">
        <f>"002503060080000"</f>
        <v>002503060080000</v>
      </c>
      <c r="G174">
        <v>70</v>
      </c>
      <c r="I174" t="str">
        <f t="shared" si="57"/>
        <v>项</v>
      </c>
      <c r="K174" t="str">
        <f>"XQJGDBTCDHXFGF"</f>
        <v>XQJGDBTCDHXFGF</v>
      </c>
      <c r="L174" t="str">
        <f>"TIEQNRtIPWINII"</f>
        <v>TIEQNRtIPWINII</v>
      </c>
      <c r="M174">
        <v>70</v>
      </c>
      <c r="N174" t="str">
        <f>"250306008-a"</f>
        <v>250306008-a</v>
      </c>
      <c r="O174" t="str">
        <f t="shared" si="56"/>
        <v>项</v>
      </c>
      <c r="P174" t="str">
        <f t="shared" si="40"/>
        <v>检验费</v>
      </c>
    </row>
    <row r="175" spans="1:16">
      <c r="A175" t="str">
        <f>"血清肌钙蛋白Ⅰ测定荧光免疫法"</f>
        <v>血清肌钙蛋白Ⅰ测定荧光免疫法</v>
      </c>
      <c r="B175" t="str">
        <f>"250306009-c"</f>
        <v>250306009-c</v>
      </c>
      <c r="C175" t="str">
        <f t="shared" si="37"/>
        <v>检验</v>
      </c>
      <c r="D175" t="str">
        <f>"002503060090000"</f>
        <v>002503060090000</v>
      </c>
      <c r="G175">
        <v>70</v>
      </c>
      <c r="I175" t="str">
        <f t="shared" si="57"/>
        <v>项</v>
      </c>
      <c r="K175" t="str">
        <f>"XQJGDBⅠCDYGMYF"</f>
        <v>XQJGDBⅠCDYGMYF</v>
      </c>
      <c r="L175" t="str">
        <f>"TIEQNRIPAIQUI"</f>
        <v>TIEQNRIPAIQUI</v>
      </c>
      <c r="M175">
        <v>70</v>
      </c>
      <c r="N175" t="str">
        <f>"250306009-c"</f>
        <v>250306009-c</v>
      </c>
      <c r="O175" t="str">
        <f t="shared" si="56"/>
        <v>项</v>
      </c>
      <c r="P175" t="str">
        <f t="shared" si="40"/>
        <v>检验费</v>
      </c>
    </row>
    <row r="176" spans="1:16">
      <c r="A176" t="str">
        <f>"血清肌红蛋白测定荧光免疫法"</f>
        <v>血清肌红蛋白测定荧光免疫法</v>
      </c>
      <c r="B176" t="str">
        <f>"250306010-c"</f>
        <v>250306010-c</v>
      </c>
      <c r="C176" t="str">
        <f t="shared" si="37"/>
        <v>检验</v>
      </c>
      <c r="D176" t="str">
        <f>"002503060100000"</f>
        <v>002503060100000</v>
      </c>
      <c r="G176">
        <v>60</v>
      </c>
      <c r="I176" t="str">
        <f t="shared" si="57"/>
        <v>项</v>
      </c>
      <c r="K176" t="str">
        <f>"XQJHDBCDYGMYF"</f>
        <v>XQJHDBCDYGMYF</v>
      </c>
      <c r="L176" t="str">
        <f>"TIEXNRIPAIQUI"</f>
        <v>TIEXNRIPAIQUI</v>
      </c>
      <c r="M176">
        <v>70</v>
      </c>
      <c r="N176" t="str">
        <f>"250306010-c"</f>
        <v>250306010-c</v>
      </c>
      <c r="O176" t="str">
        <f t="shared" si="56"/>
        <v>项</v>
      </c>
      <c r="P176" t="str">
        <f t="shared" si="40"/>
        <v>检验费</v>
      </c>
    </row>
    <row r="177" spans="1:16">
      <c r="A177" t="str">
        <f>"N端-前脑钠肽（NT-PROBNP）测定"</f>
        <v>N端-前脑钠肽（NT-PROBNP）测定</v>
      </c>
      <c r="B177" t="str">
        <f>"250306013-a"</f>
        <v>250306013-a</v>
      </c>
      <c r="C177" t="str">
        <f t="shared" si="37"/>
        <v>检验</v>
      </c>
      <c r="G177">
        <v>150</v>
      </c>
      <c r="I177" t="str">
        <f t="shared" si="57"/>
        <v>项</v>
      </c>
      <c r="K177" t="str">
        <f>"ND-QNNTZNT-PROBNPZCD"</f>
        <v>ND-QNNTZNT-PROBNPZCD</v>
      </c>
      <c r="L177" t="str">
        <f>"nU-UEQEnt-probnpIP"</f>
        <v>nU-UEQEnt-probnpIP</v>
      </c>
      <c r="M177">
        <v>200</v>
      </c>
      <c r="N177" t="str">
        <f>"250306013-a"</f>
        <v>250306013-a</v>
      </c>
      <c r="O177" t="str">
        <f t="shared" si="56"/>
        <v>项</v>
      </c>
      <c r="P177" t="str">
        <f t="shared" si="40"/>
        <v>检验费</v>
      </c>
    </row>
    <row r="178" spans="1:16">
      <c r="A178" t="str">
        <f>"尿素测定"</f>
        <v>尿素测定</v>
      </c>
      <c r="B178">
        <v>250307001</v>
      </c>
      <c r="C178" t="str">
        <f t="shared" si="37"/>
        <v>检验</v>
      </c>
      <c r="D178" t="str">
        <f>"002503070010000"</f>
        <v>002503070010000</v>
      </c>
      <c r="G178">
        <v>4</v>
      </c>
      <c r="I178" t="str">
        <f t="shared" si="57"/>
        <v>项</v>
      </c>
      <c r="K178" t="str">
        <f>"NSCD"</f>
        <v>NSCD</v>
      </c>
      <c r="L178" t="str">
        <f>"NGIP"</f>
        <v>NGIP</v>
      </c>
      <c r="M178">
        <v>4</v>
      </c>
      <c r="N178">
        <v>250307001</v>
      </c>
      <c r="O178" t="str">
        <f t="shared" si="56"/>
        <v>项</v>
      </c>
      <c r="P178" t="str">
        <f t="shared" si="40"/>
        <v>检验费</v>
      </c>
    </row>
    <row r="179" spans="1:16">
      <c r="A179" t="str">
        <f>"肌酐测定"</f>
        <v>肌酐测定</v>
      </c>
      <c r="B179">
        <v>250307002</v>
      </c>
      <c r="C179" t="str">
        <f t="shared" ref="C179:C239" si="58">"检验"</f>
        <v>检验</v>
      </c>
      <c r="D179" t="str">
        <f>"002503070020000"</f>
        <v>002503070020000</v>
      </c>
      <c r="G179">
        <v>4</v>
      </c>
      <c r="I179" t="str">
        <f t="shared" si="57"/>
        <v>项</v>
      </c>
      <c r="K179" t="str">
        <f>"JGCD"</f>
        <v>JGCD</v>
      </c>
      <c r="L179" t="str">
        <f>"ESIP"</f>
        <v>ESIP</v>
      </c>
      <c r="M179">
        <v>4</v>
      </c>
      <c r="N179">
        <v>250307002</v>
      </c>
      <c r="O179" t="str">
        <f t="shared" si="56"/>
        <v>项</v>
      </c>
      <c r="P179" t="str">
        <f t="shared" ref="P179:P239" si="59">"检验费"</f>
        <v>检验费</v>
      </c>
    </row>
    <row r="180" spans="1:16">
      <c r="A180" t="str">
        <f>"肌酐测定（酶促动力学法）（尿标本）"</f>
        <v>肌酐测定（酶促动力学法）（尿标本）</v>
      </c>
      <c r="B180" t="str">
        <f>"250307002-2"</f>
        <v>250307002-2</v>
      </c>
      <c r="C180" t="str">
        <f t="shared" si="58"/>
        <v>检验</v>
      </c>
      <c r="D180" t="str">
        <f>"002503070020000"</f>
        <v>002503070020000</v>
      </c>
      <c r="G180">
        <v>4</v>
      </c>
      <c r="I180" t="str">
        <f t="shared" si="57"/>
        <v>项</v>
      </c>
      <c r="K180" t="str">
        <f>"JCDMCDLXFNBB"</f>
        <v>JCDMCDLXFNBB</v>
      </c>
      <c r="L180" t="str">
        <f>"ESIPSWFLIINSS"</f>
        <v>ESIPSWFLIINSS</v>
      </c>
      <c r="M180">
        <v>4</v>
      </c>
      <c r="O180" t="str">
        <f t="shared" si="56"/>
        <v>项</v>
      </c>
      <c r="P180" t="str">
        <f t="shared" si="59"/>
        <v>检验费</v>
      </c>
    </row>
    <row r="181" spans="1:16">
      <c r="A181" t="str">
        <f>"血清尿酸测定"</f>
        <v>血清尿酸测定</v>
      </c>
      <c r="B181">
        <v>250307005</v>
      </c>
      <c r="C181" t="str">
        <f t="shared" si="58"/>
        <v>检验</v>
      </c>
      <c r="D181" t="str">
        <f>"002503070050000"</f>
        <v>002503070050000</v>
      </c>
      <c r="G181">
        <v>3</v>
      </c>
      <c r="I181" t="str">
        <f t="shared" si="57"/>
        <v>项</v>
      </c>
      <c r="K181" t="str">
        <f>"XQNSCD"</f>
        <v>XQNSCD</v>
      </c>
      <c r="L181" t="str">
        <f>"TINSIP"</f>
        <v>TINSIP</v>
      </c>
      <c r="M181">
        <v>3</v>
      </c>
      <c r="N181">
        <v>250307005</v>
      </c>
      <c r="O181" t="str">
        <f t="shared" si="56"/>
        <v>项</v>
      </c>
      <c r="P181" t="str">
        <f t="shared" si="59"/>
        <v>检验费</v>
      </c>
    </row>
    <row r="182" spans="1:16">
      <c r="A182" t="str">
        <f>"尿微量白蛋白测定散射比浊法"</f>
        <v>尿微量白蛋白测定散射比浊法</v>
      </c>
      <c r="B182" t="str">
        <f>"250307006-b"</f>
        <v>250307006-b</v>
      </c>
      <c r="C182" t="str">
        <f t="shared" si="58"/>
        <v>检验</v>
      </c>
      <c r="D182" t="str">
        <f>"002503070060000"</f>
        <v>002503070060000</v>
      </c>
      <c r="G182">
        <v>35</v>
      </c>
      <c r="I182" t="str">
        <f t="shared" si="57"/>
        <v>项</v>
      </c>
      <c r="K182" t="str">
        <f>"NWLBDBCDSSBZF"</f>
        <v>NWLBDBCDSSBZF</v>
      </c>
      <c r="L182" t="str">
        <f>"NTJRNRIPATXLI"</f>
        <v>NTJRNRIPATXLI</v>
      </c>
      <c r="M182">
        <v>35</v>
      </c>
      <c r="N182" t="str">
        <f>"250307006-b"</f>
        <v>250307006-b</v>
      </c>
      <c r="O182" t="str">
        <f t="shared" si="56"/>
        <v>项</v>
      </c>
      <c r="P182" t="str">
        <f t="shared" si="59"/>
        <v>检验费</v>
      </c>
    </row>
    <row r="183" spans="1:16">
      <c r="A183" t="str">
        <f>"血清胱抑素(CystatinC)测定"</f>
        <v>血清胱抑素(CystatinC)测定</v>
      </c>
      <c r="B183">
        <v>250307028</v>
      </c>
      <c r="C183" t="str">
        <f t="shared" si="58"/>
        <v>检验</v>
      </c>
      <c r="D183" t="str">
        <f>"002503070280000"</f>
        <v>002503070280000</v>
      </c>
      <c r="G183">
        <v>15</v>
      </c>
      <c r="I183" t="str">
        <f>"-"</f>
        <v>-</v>
      </c>
      <c r="K183" t="str">
        <f>"XQGYSCYSTATINCCD"</f>
        <v>XQGYSCYSTATINCCD</v>
      </c>
      <c r="L183" t="str">
        <f>"TIERGCYSTATINCIP"</f>
        <v>TIERGCYSTATINCIP</v>
      </c>
      <c r="M183">
        <v>15</v>
      </c>
      <c r="N183">
        <v>250307028</v>
      </c>
      <c r="O183" t="str">
        <f t="shared" si="56"/>
        <v>项</v>
      </c>
      <c r="P183" t="str">
        <f t="shared" si="59"/>
        <v>检验费</v>
      </c>
    </row>
    <row r="184" spans="1:16">
      <c r="A184" t="str">
        <f>"尿淀粉酶测定（比色法、速率法）"</f>
        <v>尿淀粉酶测定（比色法、速率法）</v>
      </c>
      <c r="B184" t="str">
        <f>"250308004-1"</f>
        <v>250308004-1</v>
      </c>
      <c r="C184" t="str">
        <f t="shared" si="58"/>
        <v>检验</v>
      </c>
      <c r="D184" t="str">
        <f>"002503080040000"</f>
        <v>002503080040000</v>
      </c>
      <c r="G184">
        <v>6</v>
      </c>
      <c r="I184">
        <v>1</v>
      </c>
      <c r="K184" t="str">
        <f>"NDFMCDBSFSLF"</f>
        <v>NDFMCDBSFSLF</v>
      </c>
      <c r="L184" t="str">
        <f>"NIOSIPXQIGYI"</f>
        <v>NIOSIPXQIGYI</v>
      </c>
      <c r="M184">
        <v>6</v>
      </c>
      <c r="N184">
        <v>250308004</v>
      </c>
      <c r="O184" t="str">
        <f t="shared" si="56"/>
        <v>项</v>
      </c>
      <c r="P184" t="str">
        <f t="shared" si="59"/>
        <v>检验费</v>
      </c>
    </row>
    <row r="185" spans="1:16">
      <c r="A185" t="str">
        <f>"淀粉酶测定（血清）"</f>
        <v>淀粉酶测定（血清）</v>
      </c>
      <c r="B185" t="str">
        <f>"250308004-3"</f>
        <v>250308004-3</v>
      </c>
      <c r="C185" t="str">
        <f t="shared" si="58"/>
        <v>检验</v>
      </c>
      <c r="D185" t="str">
        <f>"002503080040000"</f>
        <v>002503080040000</v>
      </c>
      <c r="G185">
        <v>6</v>
      </c>
      <c r="I185" t="str">
        <f t="shared" ref="I185:I198" si="60">"项"</f>
        <v>项</v>
      </c>
      <c r="K185" t="str">
        <f>"DFMCDXQ"</f>
        <v>DFMCDXQ</v>
      </c>
      <c r="L185" t="str">
        <f>"IOSIPTI"</f>
        <v>IOSIPTI</v>
      </c>
      <c r="M185">
        <v>6</v>
      </c>
      <c r="N185">
        <v>250308004</v>
      </c>
      <c r="O185" t="str">
        <f t="shared" si="56"/>
        <v>项</v>
      </c>
      <c r="P185" t="str">
        <f t="shared" si="59"/>
        <v>检验费</v>
      </c>
    </row>
    <row r="186" spans="1:16">
      <c r="A186" t="str">
        <f>"25羟维生素D测定"</f>
        <v>25羟维生素D测定</v>
      </c>
      <c r="B186" t="str">
        <f>"250309001-c"</f>
        <v>250309001-c</v>
      </c>
      <c r="C186" t="str">
        <f t="shared" si="58"/>
        <v>检验</v>
      </c>
      <c r="D186" t="str">
        <f>"002503090010000"</f>
        <v>002503090010000</v>
      </c>
      <c r="G186">
        <v>110</v>
      </c>
      <c r="I186" t="str">
        <f>"-"</f>
        <v>-</v>
      </c>
      <c r="K186" t="str">
        <f>"25WSSDCD"</f>
        <v>25WSSDCD</v>
      </c>
      <c r="L186" t="str">
        <f>"25UXTGDIP"</f>
        <v>25UXTGDIP</v>
      </c>
      <c r="M186">
        <v>110</v>
      </c>
      <c r="N186" t="str">
        <f>"250309001-c"</f>
        <v>250309001-c</v>
      </c>
      <c r="O186" t="str">
        <f t="shared" si="56"/>
        <v>项</v>
      </c>
      <c r="P186" t="str">
        <f t="shared" si="59"/>
        <v>检验费</v>
      </c>
    </row>
    <row r="187" spans="1:16">
      <c r="A187" t="str">
        <f>"叶酸测定化学发光法"</f>
        <v>叶酸测定化学发光法</v>
      </c>
      <c r="B187" t="str">
        <f>"250309003-a"</f>
        <v>250309003-a</v>
      </c>
      <c r="C187" t="str">
        <f t="shared" si="58"/>
        <v>检验</v>
      </c>
      <c r="D187" t="str">
        <f>"002503090030000"</f>
        <v>002503090030000</v>
      </c>
      <c r="G187">
        <v>40</v>
      </c>
      <c r="I187" t="str">
        <f t="shared" si="60"/>
        <v>项</v>
      </c>
      <c r="K187" t="str">
        <f>"YSCDHXFGF"</f>
        <v>YSCDHXFGF</v>
      </c>
      <c r="L187" t="str">
        <f>"KSIPWINII"</f>
        <v>KSIPWINII</v>
      </c>
      <c r="M187">
        <v>40</v>
      </c>
      <c r="N187" t="str">
        <f>"250309003-a"</f>
        <v>250309003-a</v>
      </c>
      <c r="O187" t="str">
        <f t="shared" si="56"/>
        <v>项</v>
      </c>
      <c r="P187" t="str">
        <f t="shared" si="59"/>
        <v>检验费</v>
      </c>
    </row>
    <row r="188" spans="1:16">
      <c r="A188" t="str">
        <f>"血清维生素B12测定（化学发光法）"</f>
        <v>血清维生素B12测定（化学发光法）</v>
      </c>
      <c r="B188" t="str">
        <f>"250309004-2"</f>
        <v>250309004-2</v>
      </c>
      <c r="C188" t="str">
        <f t="shared" si="58"/>
        <v>检验</v>
      </c>
      <c r="D188" t="str">
        <f>"002503090040000"</f>
        <v>002503090040000</v>
      </c>
      <c r="G188">
        <v>40</v>
      </c>
      <c r="I188" t="str">
        <f>"次"</f>
        <v>次</v>
      </c>
      <c r="K188" t="str">
        <f>"XQWSSB12CDHXFGF"</f>
        <v>XQWSSB12CDHXFGF</v>
      </c>
      <c r="L188" t="str">
        <f>"TIXTGB12IPWINII"</f>
        <v>TIXTGB12IPWINII</v>
      </c>
      <c r="M188">
        <v>40</v>
      </c>
      <c r="O188" t="str">
        <f>"次"</f>
        <v>次</v>
      </c>
      <c r="P188" t="str">
        <f t="shared" si="59"/>
        <v>检验费</v>
      </c>
    </row>
    <row r="189" spans="1:16">
      <c r="A189" t="str">
        <f>"维生素测定"</f>
        <v>维生素测定</v>
      </c>
      <c r="B189" t="str">
        <f>"250309004-b"</f>
        <v>250309004-b</v>
      </c>
      <c r="C189" t="str">
        <f t="shared" si="58"/>
        <v>检验</v>
      </c>
      <c r="D189" t="str">
        <f>"322503090200000"</f>
        <v>322503090200000</v>
      </c>
      <c r="G189">
        <v>100</v>
      </c>
      <c r="I189" t="str">
        <f t="shared" si="60"/>
        <v>项</v>
      </c>
      <c r="K189" t="str">
        <f>"WSSCD"</f>
        <v>WSSCD</v>
      </c>
      <c r="L189" t="str">
        <f>"XTGIP"</f>
        <v>XTGIP</v>
      </c>
      <c r="M189">
        <v>100</v>
      </c>
      <c r="O189" t="str">
        <f t="shared" ref="O189:O198" si="61">"项"</f>
        <v>项</v>
      </c>
      <c r="P189" t="str">
        <f t="shared" si="59"/>
        <v>检验费</v>
      </c>
    </row>
    <row r="190" spans="1:16">
      <c r="A190" t="str">
        <f>"维生素测定（加项）"</f>
        <v>维生素测定（加项）</v>
      </c>
      <c r="B190" t="str">
        <f>"250309004-b-2"</f>
        <v>250309004-b-2</v>
      </c>
      <c r="C190" t="str">
        <f t="shared" si="58"/>
        <v>检验</v>
      </c>
      <c r="D190" t="str">
        <f>"322503090200000"</f>
        <v>322503090200000</v>
      </c>
      <c r="G190">
        <v>30</v>
      </c>
      <c r="I190" t="str">
        <f t="shared" si="60"/>
        <v>项</v>
      </c>
      <c r="K190" t="str">
        <f>"WSSCDJX"</f>
        <v>WSSCDJX</v>
      </c>
      <c r="L190" t="str">
        <f>"XTGIPLA"</f>
        <v>XTGIPLA</v>
      </c>
      <c r="M190">
        <v>30</v>
      </c>
      <c r="O190" t="str">
        <f t="shared" si="61"/>
        <v>项</v>
      </c>
      <c r="P190" t="str">
        <f t="shared" si="59"/>
        <v>检验费</v>
      </c>
    </row>
    <row r="191" spans="1:16">
      <c r="A191" t="str">
        <f>"(TSH)血清促甲状腺激素测定"</f>
        <v>(TSH)血清促甲状腺激素测定</v>
      </c>
      <c r="B191" t="str">
        <f>"250310001-a"</f>
        <v>250310001-a</v>
      </c>
      <c r="C191" t="str">
        <f t="shared" si="58"/>
        <v>检验</v>
      </c>
      <c r="D191" t="str">
        <f>"002503100010000"</f>
        <v>002503100010000</v>
      </c>
      <c r="G191">
        <v>40</v>
      </c>
      <c r="I191" t="str">
        <f t="shared" si="60"/>
        <v>项</v>
      </c>
      <c r="K191" t="str">
        <f>"XQCJZXJSCD"</f>
        <v>XQCJZXJSCD</v>
      </c>
      <c r="L191" t="str">
        <f>"TIWLUEIGIP"</f>
        <v>TIWLUEIGIP</v>
      </c>
      <c r="M191">
        <v>40</v>
      </c>
      <c r="N191" t="str">
        <f>"250310001-a"</f>
        <v>250310001-a</v>
      </c>
      <c r="O191" t="str">
        <f t="shared" si="61"/>
        <v>项</v>
      </c>
      <c r="P191" t="str">
        <f t="shared" si="59"/>
        <v>检验费</v>
      </c>
    </row>
    <row r="192" spans="1:16">
      <c r="A192" t="str">
        <f>"(PRL)血清泌乳素测定"</f>
        <v>(PRL)血清泌乳素测定</v>
      </c>
      <c r="B192" t="str">
        <f>"250310002-a"</f>
        <v>250310002-a</v>
      </c>
      <c r="C192" t="str">
        <f t="shared" si="58"/>
        <v>检验</v>
      </c>
      <c r="D192" t="str">
        <f>"002503100020000"</f>
        <v>002503100020000</v>
      </c>
      <c r="G192">
        <v>45</v>
      </c>
      <c r="I192" t="str">
        <f t="shared" si="60"/>
        <v>项</v>
      </c>
      <c r="K192" t="str">
        <f>"XQMRSCD"</f>
        <v>XQMRSCD</v>
      </c>
      <c r="L192" t="str">
        <f>"TIIEGIP"</f>
        <v>TIIEGIP</v>
      </c>
      <c r="M192">
        <v>45</v>
      </c>
      <c r="N192" t="str">
        <f>"250310002-a"</f>
        <v>250310002-a</v>
      </c>
      <c r="O192" t="str">
        <f t="shared" si="61"/>
        <v>项</v>
      </c>
      <c r="P192" t="str">
        <f t="shared" si="59"/>
        <v>检验费</v>
      </c>
    </row>
    <row r="193" spans="1:16">
      <c r="A193" t="str">
        <f>"(FSH)血清促卵泡刺激素测定"</f>
        <v>(FSH)血清促卵泡刺激素测定</v>
      </c>
      <c r="B193" t="str">
        <f>"250310004-a"</f>
        <v>250310004-a</v>
      </c>
      <c r="C193" t="str">
        <f t="shared" si="58"/>
        <v>检验</v>
      </c>
      <c r="D193" t="str">
        <f>"002503100040000"</f>
        <v>002503100040000</v>
      </c>
      <c r="G193">
        <v>40</v>
      </c>
      <c r="I193" t="str">
        <f t="shared" si="60"/>
        <v>项</v>
      </c>
      <c r="K193" t="str">
        <f>"XQCLPCJSCD"</f>
        <v>XQCLPCJSCD</v>
      </c>
      <c r="L193" t="str">
        <f>"TIWQIGIGIP"</f>
        <v>TIWQIGIGIP</v>
      </c>
      <c r="M193">
        <v>40</v>
      </c>
      <c r="N193" t="str">
        <f>"250310004-a"</f>
        <v>250310004-a</v>
      </c>
      <c r="O193" t="str">
        <f t="shared" si="61"/>
        <v>项</v>
      </c>
      <c r="P193" t="str">
        <f t="shared" si="59"/>
        <v>检验费</v>
      </c>
    </row>
    <row r="194" spans="1:16">
      <c r="A194" t="str">
        <f>"(LH)血清促黄体生成素测定"</f>
        <v>(LH)血清促黄体生成素测定</v>
      </c>
      <c r="B194" t="str">
        <f>"250310005-a"</f>
        <v>250310005-a</v>
      </c>
      <c r="C194" t="str">
        <f t="shared" si="58"/>
        <v>检验</v>
      </c>
      <c r="D194" t="str">
        <f>"002503100050000"</f>
        <v>002503100050000</v>
      </c>
      <c r="G194">
        <v>40</v>
      </c>
      <c r="I194" t="str">
        <f t="shared" si="60"/>
        <v>项</v>
      </c>
      <c r="K194" t="str">
        <f>"XQCHTSCSCD"</f>
        <v>XQCHTSCSCD</v>
      </c>
      <c r="L194" t="str">
        <f>"TIWAWTDGIP"</f>
        <v>TIWAWTDGIP</v>
      </c>
      <c r="M194">
        <v>40</v>
      </c>
      <c r="N194" t="str">
        <f>"250310005-a"</f>
        <v>250310005-a</v>
      </c>
      <c r="O194" t="str">
        <f t="shared" si="61"/>
        <v>项</v>
      </c>
      <c r="P194" t="str">
        <f t="shared" si="59"/>
        <v>检验费</v>
      </c>
    </row>
    <row r="195" spans="1:16">
      <c r="A195" t="str">
        <f>"降钙素测定（化学发光法）"</f>
        <v>降钙素测定（化学发光法）</v>
      </c>
      <c r="B195" t="str">
        <f>"250310008-a"</f>
        <v>250310008-a</v>
      </c>
      <c r="C195" t="str">
        <f t="shared" si="58"/>
        <v>检验</v>
      </c>
      <c r="D195" t="str">
        <f>"002503100080000"</f>
        <v>002503100080000</v>
      </c>
      <c r="G195">
        <v>60</v>
      </c>
      <c r="I195" t="str">
        <f t="shared" si="60"/>
        <v>项</v>
      </c>
      <c r="K195" t="str">
        <f>"JGSCD（HXFGF）"</f>
        <v>JGSCD（HXFGF）</v>
      </c>
      <c r="L195" t="str">
        <f>"BQGIPWINII"</f>
        <v>BQGIPWINII</v>
      </c>
      <c r="M195">
        <v>60</v>
      </c>
      <c r="N195" t="str">
        <f>"250310008-a"</f>
        <v>250310008-a</v>
      </c>
      <c r="O195" t="str">
        <f t="shared" si="61"/>
        <v>项</v>
      </c>
      <c r="P195" t="str">
        <f t="shared" si="59"/>
        <v>检验费</v>
      </c>
    </row>
    <row r="196" spans="1:16">
      <c r="A196" t="str">
        <f>"甲状旁腺激素测定"</f>
        <v>甲状旁腺激素测定</v>
      </c>
      <c r="B196" t="str">
        <f>"250310009-a"</f>
        <v>250310009-a</v>
      </c>
      <c r="C196" t="str">
        <f t="shared" si="58"/>
        <v>检验</v>
      </c>
      <c r="D196" t="str">
        <f>"002503100090000"</f>
        <v>002503100090000</v>
      </c>
      <c r="G196">
        <v>40</v>
      </c>
      <c r="I196" t="str">
        <f t="shared" si="60"/>
        <v>项</v>
      </c>
      <c r="K196" t="str">
        <f>"JZPXJSCD"</f>
        <v>JZPXJSCD</v>
      </c>
      <c r="L196" t="str">
        <f>"LUUEIGIP"</f>
        <v>LUUEIGIP</v>
      </c>
      <c r="M196">
        <v>40</v>
      </c>
      <c r="N196" t="str">
        <f>"250310009-a"</f>
        <v>250310009-a</v>
      </c>
      <c r="O196" t="str">
        <f t="shared" si="61"/>
        <v>项</v>
      </c>
      <c r="P196" t="str">
        <f t="shared" si="59"/>
        <v>检验费</v>
      </c>
    </row>
    <row r="197" spans="1:16">
      <c r="A197" t="str">
        <f>"血清甲状腺素(T4)测定"</f>
        <v>血清甲状腺素(T4)测定</v>
      </c>
      <c r="B197" t="str">
        <f>"250310010-a"</f>
        <v>250310010-a</v>
      </c>
      <c r="C197" t="str">
        <f t="shared" si="58"/>
        <v>检验</v>
      </c>
      <c r="D197" t="str">
        <f>"002503100100000"</f>
        <v>002503100100000</v>
      </c>
      <c r="G197">
        <v>40</v>
      </c>
      <c r="I197" t="str">
        <f t="shared" si="60"/>
        <v>项</v>
      </c>
      <c r="K197" t="str">
        <f>"XQJZXS(T4)CD"</f>
        <v>XQJZXS(T4)CD</v>
      </c>
      <c r="L197" t="str">
        <f>"TILUEG(t4)IP"</f>
        <v>TILUEG(t4)IP</v>
      </c>
      <c r="M197">
        <v>40</v>
      </c>
      <c r="N197" t="str">
        <f>"250310010-a"</f>
        <v>250310010-a</v>
      </c>
      <c r="O197" t="str">
        <f t="shared" si="61"/>
        <v>项</v>
      </c>
      <c r="P197" t="str">
        <f t="shared" si="59"/>
        <v>检验费</v>
      </c>
    </row>
    <row r="198" spans="1:16">
      <c r="A198" t="str">
        <f>"血清三碘甲状原氨酸(T3)测定"</f>
        <v>血清三碘甲状原氨酸(T3)测定</v>
      </c>
      <c r="B198" t="str">
        <f>"250310011-a"</f>
        <v>250310011-a</v>
      </c>
      <c r="C198" t="str">
        <f t="shared" si="58"/>
        <v>检验</v>
      </c>
      <c r="D198" t="str">
        <f>"002503100110000"</f>
        <v>002503100110000</v>
      </c>
      <c r="G198">
        <v>40</v>
      </c>
      <c r="I198" t="str">
        <f t="shared" si="60"/>
        <v>项</v>
      </c>
      <c r="K198" t="str">
        <f>"XQSDJZYAS(T3)CD"</f>
        <v>XQSDJZYAS(T3)CD</v>
      </c>
      <c r="L198" t="str">
        <f>"TIDDLUDRS(t3)IP"</f>
        <v>TIDDLUDRS(t3)IP</v>
      </c>
      <c r="M198">
        <v>40</v>
      </c>
      <c r="N198" t="str">
        <f>"250310011-a"</f>
        <v>250310011-a</v>
      </c>
      <c r="O198" t="str">
        <f t="shared" si="61"/>
        <v>项</v>
      </c>
      <c r="P198" t="str">
        <f t="shared" si="59"/>
        <v>检验费</v>
      </c>
    </row>
    <row r="199" spans="1:16">
      <c r="A199" t="str">
        <f>"血清反T3测定（化学发光法、荧光免疫法）"</f>
        <v>血清反T3测定（化学发光法、荧光免疫法）</v>
      </c>
      <c r="B199" t="str">
        <f>"250310012-a"</f>
        <v>250310012-a</v>
      </c>
      <c r="C199" t="str">
        <f t="shared" si="58"/>
        <v>检验</v>
      </c>
      <c r="D199" t="str">
        <f>"002503100120000"</f>
        <v>002503100120000</v>
      </c>
      <c r="G199">
        <v>40</v>
      </c>
      <c r="I199" t="str">
        <f t="shared" ref="I199:I207" si="62">"-"</f>
        <v>-</v>
      </c>
      <c r="K199" t="str">
        <f>"XQFT3CDHXFGFYGMYF"</f>
        <v>XQFT3CDHXFGFYGMYF</v>
      </c>
      <c r="L199" t="str">
        <f>"TIRT3IPWINIIAIQUI"</f>
        <v>TIRT3IPWINIIAIQUI</v>
      </c>
      <c r="M199">
        <v>40</v>
      </c>
      <c r="N199" t="str">
        <f>"250310012-a"</f>
        <v>250310012-a</v>
      </c>
      <c r="O199" t="str">
        <f>"次"</f>
        <v>次</v>
      </c>
      <c r="P199" t="str">
        <f t="shared" si="59"/>
        <v>检验费</v>
      </c>
    </row>
    <row r="200" spans="1:16">
      <c r="A200" t="str">
        <f>"血清游离甲状腺素(FT4)测定"</f>
        <v>血清游离甲状腺素(FT4)测定</v>
      </c>
      <c r="B200" t="str">
        <f>"250310013-a"</f>
        <v>250310013-a</v>
      </c>
      <c r="C200" t="str">
        <f t="shared" si="58"/>
        <v>检验</v>
      </c>
      <c r="D200" t="str">
        <f>"002503100130000"</f>
        <v>002503100130000</v>
      </c>
      <c r="G200">
        <v>40</v>
      </c>
      <c r="I200" t="str">
        <f t="shared" ref="I200:I203" si="63">"项"</f>
        <v>项</v>
      </c>
      <c r="K200" t="str">
        <f>"XQYLJZXS(FT4)CD"</f>
        <v>XQYLJZXS(FT4)CD</v>
      </c>
      <c r="L200" t="str">
        <f>"TIIYLUEG(ft4)IP"</f>
        <v>TIIYLUEG(ft4)IP</v>
      </c>
      <c r="M200">
        <v>40</v>
      </c>
      <c r="N200" t="str">
        <f>"250310013-a"</f>
        <v>250310013-a</v>
      </c>
      <c r="O200" t="str">
        <f t="shared" ref="O200:O223" si="64">"项"</f>
        <v>项</v>
      </c>
      <c r="P200" t="str">
        <f t="shared" si="59"/>
        <v>检验费</v>
      </c>
    </row>
    <row r="201" spans="1:16">
      <c r="A201" t="str">
        <f>"血清游离三碘甲状原氨酸(FT3)测定"</f>
        <v>血清游离三碘甲状原氨酸(FT3)测定</v>
      </c>
      <c r="B201" t="str">
        <f>"250310014-a"</f>
        <v>250310014-a</v>
      </c>
      <c r="C201" t="str">
        <f t="shared" si="58"/>
        <v>检验</v>
      </c>
      <c r="D201" t="str">
        <f>"002503100140000"</f>
        <v>002503100140000</v>
      </c>
      <c r="G201">
        <v>40</v>
      </c>
      <c r="I201" t="str">
        <f t="shared" si="63"/>
        <v>项</v>
      </c>
      <c r="K201" t="str">
        <f>"XQYLSDJZYAS(FT3)CD"</f>
        <v>XQYLSDJZYAS(FT3)CD</v>
      </c>
      <c r="L201" t="str">
        <f>"TIIYDDLUDRS(ft3)IP"</f>
        <v>TIIYDDLUDRS(ft3)IP</v>
      </c>
      <c r="M201">
        <v>40</v>
      </c>
      <c r="N201" t="str">
        <f>"250310014-a"</f>
        <v>250310014-a</v>
      </c>
      <c r="O201" t="str">
        <f t="shared" si="64"/>
        <v>项</v>
      </c>
      <c r="P201" t="str">
        <f t="shared" si="59"/>
        <v>检验费</v>
      </c>
    </row>
    <row r="202" spans="1:16">
      <c r="A202" t="str">
        <f>"血清甲状腺结合球蛋白测定（化学发光法、荧光免疫法）"</f>
        <v>血清甲状腺结合球蛋白测定（化学发光法、荧光免疫法）</v>
      </c>
      <c r="B202" t="str">
        <f>"250310016-a"</f>
        <v>250310016-a</v>
      </c>
      <c r="C202" t="str">
        <f t="shared" si="58"/>
        <v>检验</v>
      </c>
      <c r="D202" t="str">
        <f>"002503100160000"</f>
        <v>002503100160000</v>
      </c>
      <c r="G202">
        <v>60</v>
      </c>
      <c r="I202" t="str">
        <f t="shared" si="62"/>
        <v>-</v>
      </c>
      <c r="K202" t="str">
        <f>"XQJZXJHQDBCDHXFGFYGM"</f>
        <v>XQJZXJHQDBCDHXFGFYGM</v>
      </c>
      <c r="L202" t="str">
        <f>"TILUEXWGNRIPWINIIAIQ"</f>
        <v>TILUEXWGNRIPWINIIAIQ</v>
      </c>
      <c r="M202">
        <v>60</v>
      </c>
      <c r="N202" t="str">
        <f>"250310016-a"</f>
        <v>250310016-a</v>
      </c>
      <c r="O202" t="str">
        <f t="shared" si="64"/>
        <v>项</v>
      </c>
      <c r="P202" t="str">
        <f t="shared" si="59"/>
        <v>检验费</v>
      </c>
    </row>
    <row r="203" spans="1:16">
      <c r="A203" t="str">
        <f>"(TRAB)促甲状腺素受体抗体测定"</f>
        <v>(TRAB)促甲状腺素受体抗体测定</v>
      </c>
      <c r="B203" t="str">
        <f>"250310017-a"</f>
        <v>250310017-a</v>
      </c>
      <c r="C203" t="str">
        <f t="shared" si="58"/>
        <v>检验</v>
      </c>
      <c r="D203" t="str">
        <f>"002503100170000"</f>
        <v>002503100170000</v>
      </c>
      <c r="G203">
        <v>60</v>
      </c>
      <c r="I203" t="str">
        <f t="shared" si="63"/>
        <v>项</v>
      </c>
      <c r="K203" t="str">
        <f>"CJZXSSTKTCD"</f>
        <v>CJZXSSTKTCD</v>
      </c>
      <c r="L203" t="str">
        <f>"WLUEGEWRWIP"</f>
        <v>WLUEGEWRWIP</v>
      </c>
      <c r="M203">
        <v>60</v>
      </c>
      <c r="N203" t="str">
        <f>"250310017-a"</f>
        <v>250310017-a</v>
      </c>
      <c r="O203" t="str">
        <f t="shared" si="64"/>
        <v>项</v>
      </c>
      <c r="P203" t="str">
        <f t="shared" si="59"/>
        <v>检验费</v>
      </c>
    </row>
    <row r="204" spans="1:16">
      <c r="A204" t="str">
        <f>"血浆皮质醇测定"</f>
        <v>血浆皮质醇测定</v>
      </c>
      <c r="B204" t="str">
        <f>"250310018-a"</f>
        <v>250310018-a</v>
      </c>
      <c r="C204" t="str">
        <f t="shared" si="58"/>
        <v>检验</v>
      </c>
      <c r="D204" t="str">
        <f>"002503100180000"</f>
        <v>002503100180000</v>
      </c>
      <c r="G204">
        <v>60</v>
      </c>
      <c r="I204" t="str">
        <f t="shared" si="62"/>
        <v>-</v>
      </c>
      <c r="K204" t="str">
        <f>"XJPZCCD"</f>
        <v>XJPZCCD</v>
      </c>
      <c r="L204" t="str">
        <f>"TUHRSIP"</f>
        <v>TUHRSIP</v>
      </c>
      <c r="M204">
        <v>60</v>
      </c>
      <c r="N204" t="str">
        <f>"250310018-a"</f>
        <v>250310018-a</v>
      </c>
      <c r="O204" t="str">
        <f t="shared" si="64"/>
        <v>项</v>
      </c>
      <c r="P204" t="str">
        <f t="shared" si="59"/>
        <v>检验费</v>
      </c>
    </row>
    <row r="205" spans="1:16">
      <c r="A205" t="str">
        <f>"醛固酮测定(化学发光法、荧光免疫法)"</f>
        <v>醛固酮测定(化学发光法、荧光免疫法)</v>
      </c>
      <c r="B205" t="str">
        <f>"250310023-a"</f>
        <v>250310023-a</v>
      </c>
      <c r="C205" t="str">
        <f t="shared" si="58"/>
        <v>检验</v>
      </c>
      <c r="D205" t="str">
        <f>"002503100230000"</f>
        <v>002503100230000</v>
      </c>
      <c r="G205">
        <v>40</v>
      </c>
      <c r="I205" t="str">
        <f t="shared" si="62"/>
        <v>-</v>
      </c>
      <c r="K205" t="str">
        <f>"QGTCDHXFGF"</f>
        <v>QGTCDHXFGF</v>
      </c>
      <c r="L205" t="str">
        <f>"SLSIPWINII"</f>
        <v>SLSIPWINII</v>
      </c>
      <c r="M205">
        <v>40</v>
      </c>
      <c r="N205" t="str">
        <f>"250310023-a"</f>
        <v>250310023-a</v>
      </c>
      <c r="O205" t="str">
        <f t="shared" si="64"/>
        <v>项</v>
      </c>
      <c r="P205" t="str">
        <f t="shared" si="59"/>
        <v>检验费</v>
      </c>
    </row>
    <row r="206" spans="1:16">
      <c r="A206" t="str">
        <f>"血浆肾素活性测定"</f>
        <v>血浆肾素活性测定</v>
      </c>
      <c r="B206">
        <v>250310026</v>
      </c>
      <c r="C206" t="str">
        <f t="shared" si="58"/>
        <v>检验</v>
      </c>
      <c r="D206" t="str">
        <f>"002503100260000"</f>
        <v>002503100260000</v>
      </c>
      <c r="G206">
        <v>30</v>
      </c>
      <c r="I206" t="str">
        <f t="shared" si="62"/>
        <v>-</v>
      </c>
      <c r="K206" t="str">
        <f>"XJSSHXCD"</f>
        <v>XJSSHXCD</v>
      </c>
      <c r="L206" t="str">
        <f>"TUJGINIP"</f>
        <v>TUJGINIP</v>
      </c>
      <c r="M206">
        <v>30</v>
      </c>
      <c r="N206">
        <v>250310026</v>
      </c>
      <c r="O206" t="str">
        <f t="shared" si="64"/>
        <v>项</v>
      </c>
      <c r="P206" t="str">
        <f t="shared" si="59"/>
        <v>检验费</v>
      </c>
    </row>
    <row r="207" spans="1:16">
      <c r="A207" t="str">
        <f>"血管紧张素Ⅱ测定"</f>
        <v>血管紧张素Ⅱ测定</v>
      </c>
      <c r="B207">
        <v>250310028</v>
      </c>
      <c r="C207" t="str">
        <f t="shared" si="58"/>
        <v>检验</v>
      </c>
      <c r="D207" t="str">
        <f>"002503100280000"</f>
        <v>002503100280000</v>
      </c>
      <c r="G207">
        <v>12</v>
      </c>
      <c r="I207" t="str">
        <f t="shared" si="62"/>
        <v>-</v>
      </c>
      <c r="K207" t="str">
        <f>"XGJZS2CD"</f>
        <v>XGJZS2CD</v>
      </c>
      <c r="L207" t="str">
        <f>"TTJXGIP"</f>
        <v>TTJXGIP</v>
      </c>
      <c r="M207">
        <v>12</v>
      </c>
      <c r="N207">
        <v>250310028</v>
      </c>
      <c r="O207" t="str">
        <f t="shared" si="64"/>
        <v>项</v>
      </c>
      <c r="P207" t="str">
        <f t="shared" si="59"/>
        <v>检验费</v>
      </c>
    </row>
    <row r="208" spans="1:16">
      <c r="A208" t="str">
        <f>"(T)睾酮测定"</f>
        <v>(T)睾酮测定</v>
      </c>
      <c r="B208" t="str">
        <f>"250310030-a"</f>
        <v>250310030-a</v>
      </c>
      <c r="C208" t="str">
        <f t="shared" si="58"/>
        <v>检验</v>
      </c>
      <c r="D208" t="str">
        <f>"002503100300000"</f>
        <v>002503100300000</v>
      </c>
      <c r="G208">
        <v>60</v>
      </c>
      <c r="I208" t="str">
        <f t="shared" ref="I208:I216" si="65">"项"</f>
        <v>项</v>
      </c>
      <c r="K208" t="str">
        <f>"GTCD"</f>
        <v>GTCD</v>
      </c>
      <c r="L208" t="str">
        <f>"TSIP"</f>
        <v>TSIP</v>
      </c>
      <c r="M208">
        <v>60</v>
      </c>
      <c r="N208" t="str">
        <f>"250310030-a"</f>
        <v>250310030-a</v>
      </c>
      <c r="O208" t="str">
        <f t="shared" si="64"/>
        <v>项</v>
      </c>
      <c r="P208" t="str">
        <f t="shared" si="59"/>
        <v>检验费</v>
      </c>
    </row>
    <row r="209" spans="1:16">
      <c r="A209" t="str">
        <f>"雌三醇测定（化学发光法、荧光免疫法）"</f>
        <v>雌三醇测定（化学发光法、荧光免疫法）</v>
      </c>
      <c r="B209" t="str">
        <f>"250310035-a"</f>
        <v>250310035-a</v>
      </c>
      <c r="C209" t="str">
        <f t="shared" si="58"/>
        <v>检验</v>
      </c>
      <c r="D209" t="str">
        <f>"002503100350000"</f>
        <v>002503100350000</v>
      </c>
      <c r="G209">
        <v>60</v>
      </c>
      <c r="I209" t="str">
        <f>"-"</f>
        <v>-</v>
      </c>
      <c r="K209" t="str">
        <f>"CSCCD"</f>
        <v>CSCCD</v>
      </c>
      <c r="L209" t="str">
        <f>"HDSIP"</f>
        <v>HDSIP</v>
      </c>
      <c r="M209">
        <v>60</v>
      </c>
      <c r="N209" t="str">
        <f>"250310035-a"</f>
        <v>250310035-a</v>
      </c>
      <c r="O209" t="str">
        <f t="shared" si="64"/>
        <v>项</v>
      </c>
      <c r="P209" t="str">
        <f t="shared" si="59"/>
        <v>检验费</v>
      </c>
    </row>
    <row r="210" spans="1:16">
      <c r="A210" t="str">
        <f>"(E2)雌二醇测定"</f>
        <v>(E2)雌二醇测定</v>
      </c>
      <c r="B210" t="str">
        <f>"250310036-a"</f>
        <v>250310036-a</v>
      </c>
      <c r="C210" t="str">
        <f t="shared" si="58"/>
        <v>检验</v>
      </c>
      <c r="D210" t="str">
        <f>"002503100360000"</f>
        <v>002503100360000</v>
      </c>
      <c r="G210">
        <v>60</v>
      </c>
      <c r="I210" t="str">
        <f t="shared" si="65"/>
        <v>项</v>
      </c>
      <c r="K210" t="str">
        <f>"(E2)CECCD"</f>
        <v>(E2)CECCD</v>
      </c>
      <c r="L210" t="str">
        <f>"E2HFSIP"</f>
        <v>E2HFSIP</v>
      </c>
      <c r="M210">
        <v>60</v>
      </c>
      <c r="N210" t="str">
        <f>"250310036-a"</f>
        <v>250310036-a</v>
      </c>
      <c r="O210" t="str">
        <f t="shared" si="64"/>
        <v>项</v>
      </c>
      <c r="P210" t="str">
        <f t="shared" si="59"/>
        <v>检验费</v>
      </c>
    </row>
    <row r="211" spans="1:16">
      <c r="A211" t="str">
        <f>"(P)孕酮测定"</f>
        <v>(P)孕酮测定</v>
      </c>
      <c r="B211" t="str">
        <f>"250310037-a"</f>
        <v>250310037-a</v>
      </c>
      <c r="C211" t="str">
        <f t="shared" si="58"/>
        <v>检验</v>
      </c>
      <c r="D211" t="str">
        <f>"002503100370000"</f>
        <v>002503100370000</v>
      </c>
      <c r="G211">
        <v>60</v>
      </c>
      <c r="I211" t="str">
        <f t="shared" si="65"/>
        <v>项</v>
      </c>
      <c r="K211" t="str">
        <f>"YTCD"</f>
        <v>YTCD</v>
      </c>
      <c r="L211" t="str">
        <f>"ESIP"</f>
        <v>ESIP</v>
      </c>
      <c r="M211">
        <v>60</v>
      </c>
      <c r="N211" t="str">
        <f>"250310037-a"</f>
        <v>250310037-a</v>
      </c>
      <c r="O211" t="str">
        <f t="shared" si="64"/>
        <v>项</v>
      </c>
      <c r="P211" t="str">
        <f t="shared" si="59"/>
        <v>检验费</v>
      </c>
    </row>
    <row r="212" spans="1:16">
      <c r="A212" t="str">
        <f>"(HCG)血清人绒毛膜促性腺激素测定"</f>
        <v>(HCG)血清人绒毛膜促性腺激素测定</v>
      </c>
      <c r="B212" t="str">
        <f>"250310038-a"</f>
        <v>250310038-a</v>
      </c>
      <c r="C212" t="str">
        <f t="shared" si="58"/>
        <v>检验</v>
      </c>
      <c r="D212" t="str">
        <f>"002503100380000"</f>
        <v>002503100380000</v>
      </c>
      <c r="G212">
        <v>40</v>
      </c>
      <c r="I212" t="str">
        <f t="shared" si="65"/>
        <v>项</v>
      </c>
      <c r="K212" t="str">
        <f>"HCG)XQRRMMCXXJSC"</f>
        <v>HCG)XQRRMMCXXJSC</v>
      </c>
      <c r="L212" t="str">
        <f>"HCGTIWXTEWNEIGIP"</f>
        <v>HCGTIWXTEWNEIGIP</v>
      </c>
      <c r="M212">
        <v>40</v>
      </c>
      <c r="N212" t="str">
        <f>"250310038-a"</f>
        <v>250310038-a</v>
      </c>
      <c r="O212" t="str">
        <f t="shared" si="64"/>
        <v>项</v>
      </c>
      <c r="P212" t="str">
        <f t="shared" si="59"/>
        <v>检验费</v>
      </c>
    </row>
    <row r="213" spans="1:16">
      <c r="A213" t="str">
        <f>"(INS)血清胰岛素测定"</f>
        <v>(INS)血清胰岛素测定</v>
      </c>
      <c r="B213" t="str">
        <f>"250310039-a"</f>
        <v>250310039-a</v>
      </c>
      <c r="C213" t="str">
        <f t="shared" si="58"/>
        <v>检验</v>
      </c>
      <c r="D213" t="str">
        <f>"002503100390000"</f>
        <v>002503100390000</v>
      </c>
      <c r="G213">
        <v>40</v>
      </c>
      <c r="I213" t="str">
        <f t="shared" si="65"/>
        <v>项</v>
      </c>
      <c r="K213" t="str">
        <f>"XQYDSCD"</f>
        <v>XQYDSCD</v>
      </c>
      <c r="L213" t="str">
        <f>"TIEQGIP"</f>
        <v>TIEQGIP</v>
      </c>
      <c r="M213">
        <v>40</v>
      </c>
      <c r="N213" t="str">
        <f>"250310039-a"</f>
        <v>250310039-a</v>
      </c>
      <c r="O213" t="str">
        <f t="shared" si="64"/>
        <v>项</v>
      </c>
      <c r="P213" t="str">
        <f t="shared" si="59"/>
        <v>检验费</v>
      </c>
    </row>
    <row r="214" spans="1:16">
      <c r="A214" t="str">
        <f>"(CP)血清C肽测定"</f>
        <v>(CP)血清C肽测定</v>
      </c>
      <c r="B214" t="str">
        <f>"250310041-a"</f>
        <v>250310041-a</v>
      </c>
      <c r="C214" t="str">
        <f t="shared" si="58"/>
        <v>检验</v>
      </c>
      <c r="D214" t="str">
        <f>"002503100410000"</f>
        <v>002503100410000</v>
      </c>
      <c r="G214">
        <v>60</v>
      </c>
      <c r="I214" t="str">
        <f t="shared" si="65"/>
        <v>项</v>
      </c>
      <c r="K214" t="str">
        <f>"XQCTCD"</f>
        <v>XQCTCD</v>
      </c>
      <c r="L214" t="str">
        <f>"TIcEIP"</f>
        <v>TIcEIP</v>
      </c>
      <c r="M214">
        <v>60</v>
      </c>
      <c r="N214" t="str">
        <f>"250310041-a"</f>
        <v>250310041-a</v>
      </c>
      <c r="O214" t="str">
        <f t="shared" si="64"/>
        <v>项</v>
      </c>
      <c r="P214" t="str">
        <f t="shared" si="59"/>
        <v>检验费</v>
      </c>
    </row>
    <row r="215" spans="1:16">
      <c r="A215" t="str">
        <f>"血清抗谷氨酸脱羧酶抗体测定"</f>
        <v>血清抗谷氨酸脱羧酶抗体测定</v>
      </c>
      <c r="B215" t="str">
        <f>"250310043-a"</f>
        <v>250310043-a</v>
      </c>
      <c r="C215" t="str">
        <f t="shared" si="58"/>
        <v>检验</v>
      </c>
      <c r="D215" t="str">
        <f>"002503100430000"</f>
        <v>002503100430000</v>
      </c>
      <c r="G215">
        <v>60</v>
      </c>
      <c r="I215" t="str">
        <f t="shared" si="65"/>
        <v>项</v>
      </c>
      <c r="K215" t="str">
        <f>"XQKGASTSMKTCD"</f>
        <v>XQKGASTSMKTCD</v>
      </c>
      <c r="L215" t="str">
        <f>"TIRWRSEUSRWIP"</f>
        <v>TIRWRSEUSRWIP</v>
      </c>
      <c r="M215">
        <v>60</v>
      </c>
      <c r="N215" t="str">
        <f>"250310043-a"</f>
        <v>250310043-a</v>
      </c>
      <c r="O215" t="str">
        <f t="shared" si="64"/>
        <v>项</v>
      </c>
      <c r="P215" t="str">
        <f t="shared" si="59"/>
        <v>检验费</v>
      </c>
    </row>
    <row r="216" spans="1:16">
      <c r="A216" t="str">
        <f>"胃泌素测定"</f>
        <v>胃泌素测定</v>
      </c>
      <c r="B216" t="str">
        <f>"250310044-a"</f>
        <v>250310044-a</v>
      </c>
      <c r="C216" t="str">
        <f t="shared" si="58"/>
        <v>检验</v>
      </c>
      <c r="D216" t="str">
        <f>"002503100440000"</f>
        <v>002503100440000</v>
      </c>
      <c r="G216">
        <v>40</v>
      </c>
      <c r="I216" t="str">
        <f t="shared" si="65"/>
        <v>项</v>
      </c>
      <c r="K216" t="str">
        <f>"WMSCD"</f>
        <v>WMSCD</v>
      </c>
      <c r="L216" t="str">
        <f>"LIGIP"</f>
        <v>LIGIP</v>
      </c>
      <c r="M216">
        <v>40</v>
      </c>
      <c r="N216" t="str">
        <f>"250310044-a"</f>
        <v>250310044-a</v>
      </c>
      <c r="O216" t="str">
        <f t="shared" si="64"/>
        <v>项</v>
      </c>
      <c r="P216" t="str">
        <f t="shared" si="59"/>
        <v>检验费</v>
      </c>
    </row>
    <row r="217" spans="1:16">
      <c r="A217" t="str">
        <f>"血清胃泌素释放肽前体（ProGRP)测定"</f>
        <v>血清胃泌素释放肽前体（ProGRP)测定</v>
      </c>
      <c r="B217">
        <v>250310057</v>
      </c>
      <c r="C217" t="str">
        <f t="shared" si="58"/>
        <v>检验</v>
      </c>
      <c r="G217">
        <v>50</v>
      </c>
      <c r="I217" t="str">
        <f>"血清0.5ml"</f>
        <v>血清0.5ml</v>
      </c>
      <c r="K217" t="str">
        <f>"XQWMSSFQTPROGRPC"</f>
        <v>XQWMSSFQTPROGRPC</v>
      </c>
      <c r="L217" t="str">
        <f>"TILIGTYEUWPROGRP"</f>
        <v>TILIGTYEUWPROGRP</v>
      </c>
      <c r="M217">
        <v>115</v>
      </c>
      <c r="O217" t="str">
        <f t="shared" si="64"/>
        <v>项</v>
      </c>
      <c r="P217" t="str">
        <f t="shared" si="59"/>
        <v>检验费</v>
      </c>
    </row>
    <row r="218" spans="1:16">
      <c r="A218" t="str">
        <f>"抗缪勒氏管激素定量测定（AMH）(发光法)"</f>
        <v>抗缪勒氏管激素定量测定（AMH）(发光法)</v>
      </c>
      <c r="B218" t="str">
        <f>"250310071-1"</f>
        <v>250310071-1</v>
      </c>
      <c r="C218" t="str">
        <f t="shared" si="58"/>
        <v>检验</v>
      </c>
      <c r="G218">
        <v>160</v>
      </c>
      <c r="I218" t="str">
        <f>"项"</f>
        <v>项</v>
      </c>
      <c r="K218" t="str">
        <f>"KLSGJSDLCDAMHFGF"</f>
        <v>KLSGJSDLCDAMHFGF</v>
      </c>
      <c r="L218" t="str">
        <f>"RXAQTIGPJIPAMHNI"</f>
        <v>RXAQTIGPJIPAMHNI</v>
      </c>
      <c r="M218">
        <v>160</v>
      </c>
      <c r="N218">
        <v>250310071</v>
      </c>
      <c r="O218" t="str">
        <f t="shared" si="64"/>
        <v>项</v>
      </c>
      <c r="P218" t="str">
        <f t="shared" si="59"/>
        <v>检验费</v>
      </c>
    </row>
    <row r="219" spans="1:16">
      <c r="A219" t="str">
        <f>"总补体测定(CH50)"</f>
        <v>总补体测定(CH50)</v>
      </c>
      <c r="B219">
        <v>250401019</v>
      </c>
      <c r="C219" t="str">
        <f t="shared" si="58"/>
        <v>检验</v>
      </c>
      <c r="D219" t="str">
        <f>"002504010190000"</f>
        <v>002504010190000</v>
      </c>
      <c r="G219">
        <v>10</v>
      </c>
      <c r="I219" t="str">
        <f>"-"</f>
        <v>-</v>
      </c>
      <c r="K219" t="str">
        <f>"ZBTCDCH50"</f>
        <v>ZBTCDCH50</v>
      </c>
      <c r="L219" t="str">
        <f>"UPWIPCH50"</f>
        <v>UPWIPCH50</v>
      </c>
      <c r="M219">
        <v>10</v>
      </c>
      <c r="N219">
        <v>250401019</v>
      </c>
      <c r="O219" t="str">
        <f t="shared" si="64"/>
        <v>项</v>
      </c>
      <c r="P219" t="str">
        <f t="shared" si="59"/>
        <v>检验费</v>
      </c>
    </row>
    <row r="220" spans="1:16">
      <c r="A220" t="str">
        <f>"单项补体测定"</f>
        <v>单项补体测定</v>
      </c>
      <c r="B220">
        <v>250401020</v>
      </c>
      <c r="C220" t="str">
        <f t="shared" si="58"/>
        <v>检验</v>
      </c>
      <c r="D220" t="str">
        <f>"002504010200000"</f>
        <v>002504010200000</v>
      </c>
      <c r="G220">
        <v>20</v>
      </c>
      <c r="I220" t="str">
        <f>"项"</f>
        <v>项</v>
      </c>
      <c r="K220" t="str">
        <f>"DXBTCD"</f>
        <v>DXBTCD</v>
      </c>
      <c r="L220" t="str">
        <f>"UAPWIP"</f>
        <v>UAPWIP</v>
      </c>
      <c r="M220">
        <v>20</v>
      </c>
      <c r="N220">
        <v>250401020</v>
      </c>
      <c r="O220" t="str">
        <f t="shared" si="64"/>
        <v>项</v>
      </c>
      <c r="P220" t="str">
        <f t="shared" si="59"/>
        <v>检验费</v>
      </c>
    </row>
    <row r="221" spans="1:16">
      <c r="A221" t="str">
        <f>"免疫球蛋白IgA定量测定（散射比浊法）"</f>
        <v>免疫球蛋白IgA定量测定（散射比浊法）</v>
      </c>
      <c r="B221" t="str">
        <f>"250401023-a"</f>
        <v>250401023-a</v>
      </c>
      <c r="C221" t="str">
        <f t="shared" si="58"/>
        <v>检验</v>
      </c>
      <c r="D221" t="str">
        <f t="shared" ref="D221:D223" si="66">"002504010230000"</f>
        <v>002504010230000</v>
      </c>
      <c r="G221">
        <v>20</v>
      </c>
      <c r="I221" t="str">
        <f t="shared" ref="I221:I224" si="67">"次"</f>
        <v>次</v>
      </c>
      <c r="K221" t="str">
        <f>"MYQDBIGADLCDSSBZ"</f>
        <v>MYQDBIGADLCDSSBZ</v>
      </c>
      <c r="L221" t="str">
        <f>"QUGNRIGAPJIPATXI"</f>
        <v>QUGNRIGAPJIPATXI</v>
      </c>
      <c r="M221">
        <v>20</v>
      </c>
      <c r="N221" t="str">
        <f t="shared" ref="N221:N223" si="68">"250401023-a"</f>
        <v>250401023-a</v>
      </c>
      <c r="O221" t="str">
        <f t="shared" si="64"/>
        <v>项</v>
      </c>
      <c r="P221" t="str">
        <f t="shared" si="59"/>
        <v>检验费</v>
      </c>
    </row>
    <row r="222" spans="1:16">
      <c r="A222" t="str">
        <f>"免疫球蛋白IgG定量测定（散射比浊法）"</f>
        <v>免疫球蛋白IgG定量测定（散射比浊法）</v>
      </c>
      <c r="B222" t="str">
        <f>"250401023-a-2"</f>
        <v>250401023-a-2</v>
      </c>
      <c r="C222" t="str">
        <f t="shared" si="58"/>
        <v>检验</v>
      </c>
      <c r="D222" t="str">
        <f t="shared" si="66"/>
        <v>002504010230000</v>
      </c>
      <c r="G222">
        <v>20</v>
      </c>
      <c r="I222" t="str">
        <f t="shared" si="67"/>
        <v>次</v>
      </c>
      <c r="K222" t="str">
        <f>"MYQDBIGGDLCDSSBZ"</f>
        <v>MYQDBIGGDLCDSSBZ</v>
      </c>
      <c r="L222" t="str">
        <f>"QUGNRIGGPJIPATXI"</f>
        <v>QUGNRIGGPJIPATXI</v>
      </c>
      <c r="M222">
        <v>20</v>
      </c>
      <c r="N222" t="str">
        <f t="shared" si="68"/>
        <v>250401023-a</v>
      </c>
      <c r="O222" t="str">
        <f t="shared" si="64"/>
        <v>项</v>
      </c>
      <c r="P222" t="str">
        <f t="shared" si="59"/>
        <v>检验费</v>
      </c>
    </row>
    <row r="223" spans="1:16">
      <c r="A223" t="str">
        <f>"免疫球蛋白IgM定量测定（散射比浊法）"</f>
        <v>免疫球蛋白IgM定量测定（散射比浊法）</v>
      </c>
      <c r="B223" t="str">
        <f>"250401023-a-3"</f>
        <v>250401023-a-3</v>
      </c>
      <c r="C223" t="str">
        <f t="shared" si="58"/>
        <v>检验</v>
      </c>
      <c r="D223" t="str">
        <f t="shared" si="66"/>
        <v>002504010230000</v>
      </c>
      <c r="G223">
        <v>20</v>
      </c>
      <c r="I223" t="str">
        <f t="shared" si="67"/>
        <v>次</v>
      </c>
      <c r="K223" t="str">
        <f>"MYQDBIGMDLCDSSBZ"</f>
        <v>MYQDBIGMDLCDSSBZ</v>
      </c>
      <c r="L223" t="str">
        <f>"QUGNRIGMPJIPATXI"</f>
        <v>QUGNRIGMPJIPATXI</v>
      </c>
      <c r="M223">
        <v>20</v>
      </c>
      <c r="N223" t="str">
        <f t="shared" si="68"/>
        <v>250401023-a</v>
      </c>
      <c r="O223" t="str">
        <f t="shared" si="64"/>
        <v>项</v>
      </c>
      <c r="P223" t="str">
        <f t="shared" si="59"/>
        <v>检验费</v>
      </c>
    </row>
    <row r="224" spans="1:16">
      <c r="A224" t="str">
        <f>"抗核抗体测定(ANA)（免疫学法）"</f>
        <v>抗核抗体测定(ANA)（免疫学法）</v>
      </c>
      <c r="B224" t="str">
        <f>"250402002-a"</f>
        <v>250402002-a</v>
      </c>
      <c r="C224" t="str">
        <f t="shared" si="58"/>
        <v>检验</v>
      </c>
      <c r="D224" t="str">
        <f>"002504020020000"</f>
        <v>002504020020000</v>
      </c>
      <c r="G224">
        <v>30</v>
      </c>
      <c r="I224" t="str">
        <f t="shared" si="67"/>
        <v>次</v>
      </c>
      <c r="K224" t="str">
        <f>"KHKTCDANAMYXF"</f>
        <v>KHKTCDANAMYXF</v>
      </c>
      <c r="L224" t="str">
        <f>"RSRWIPANAQUII"</f>
        <v>RSRWIPANAQUII</v>
      </c>
      <c r="M224">
        <v>30</v>
      </c>
      <c r="N224" t="str">
        <f>"250402002-a"</f>
        <v>250402002-a</v>
      </c>
      <c r="O224" t="str">
        <f>"次"</f>
        <v>次</v>
      </c>
      <c r="P224" t="str">
        <f t="shared" si="59"/>
        <v>检验费</v>
      </c>
    </row>
    <row r="225" spans="1:16">
      <c r="A225" t="str">
        <f>"抗核提取物抗体测定(抗ENA抗体)"</f>
        <v>抗核提取物抗体测定(抗ENA抗体)</v>
      </c>
      <c r="B225" t="str">
        <f>"250402003-1"</f>
        <v>250402003-1</v>
      </c>
      <c r="C225" t="str">
        <f t="shared" si="58"/>
        <v>检验</v>
      </c>
      <c r="D225" t="str">
        <f t="shared" ref="D225:D231" si="69">"002504020030000"</f>
        <v>002504020030000</v>
      </c>
      <c r="G225">
        <v>20</v>
      </c>
      <c r="I225" t="str">
        <f>"项"</f>
        <v>项</v>
      </c>
      <c r="K225" t="str">
        <f>"KHTQWKTCD(KENAKT)"</f>
        <v>KHTQWKTCD(KENAKT)</v>
      </c>
      <c r="L225" t="str">
        <f>"RSRBTRWIP(RenaRW)"</f>
        <v>RSRBTRWIP(RenaRW)</v>
      </c>
      <c r="M225">
        <v>20</v>
      </c>
      <c r="N225">
        <v>250402003</v>
      </c>
      <c r="O225" t="str">
        <f t="shared" ref="O225:O229" si="70">"项"</f>
        <v>项</v>
      </c>
      <c r="P225" t="str">
        <f t="shared" si="59"/>
        <v>检验费</v>
      </c>
    </row>
    <row r="226" spans="1:16">
      <c r="A226" t="str">
        <f>"抗核提取物抗体测定（抗JO-1)"</f>
        <v>抗核提取物抗体测定（抗JO-1)</v>
      </c>
      <c r="B226" t="str">
        <f>"250402003-2"</f>
        <v>250402003-2</v>
      </c>
      <c r="C226" t="str">
        <f t="shared" si="58"/>
        <v>检验</v>
      </c>
      <c r="D226" t="str">
        <f t="shared" si="69"/>
        <v>002504020030000</v>
      </c>
      <c r="G226">
        <v>20</v>
      </c>
      <c r="I226">
        <v>1</v>
      </c>
      <c r="K226" t="str">
        <f>"KHTQWKTCD（KJO-1)"</f>
        <v>KHTQWKTCD（KJO-1)</v>
      </c>
      <c r="L226" t="str">
        <f>"RSRBTRWIPRJO1"</f>
        <v>RSRBTRWIPRJO1</v>
      </c>
      <c r="M226">
        <v>20</v>
      </c>
      <c r="N226">
        <v>250402003</v>
      </c>
      <c r="O226" t="str">
        <f t="shared" si="70"/>
        <v>项</v>
      </c>
      <c r="P226" t="str">
        <f t="shared" si="59"/>
        <v>检验费</v>
      </c>
    </row>
    <row r="227" spans="1:16">
      <c r="A227" t="str">
        <f>"抗核提取物抗体测定（抗nRNP)"</f>
        <v>抗核提取物抗体测定（抗nRNP)</v>
      </c>
      <c r="B227" t="str">
        <f>"250402003-3"</f>
        <v>250402003-3</v>
      </c>
      <c r="C227" t="str">
        <f t="shared" si="58"/>
        <v>检验</v>
      </c>
      <c r="D227" t="str">
        <f t="shared" si="69"/>
        <v>002504020030000</v>
      </c>
      <c r="G227">
        <v>20</v>
      </c>
      <c r="I227">
        <v>1</v>
      </c>
      <c r="K227" t="str">
        <f>"KHTQWKTCD（KNRNP)"</f>
        <v>KHTQWKTCD（KNRNP)</v>
      </c>
      <c r="L227" t="str">
        <f>"RSRBTRWIPRNRNP"</f>
        <v>RSRBTRWIPRNRNP</v>
      </c>
      <c r="M227">
        <v>20</v>
      </c>
      <c r="N227">
        <v>250402003</v>
      </c>
      <c r="O227" t="str">
        <f t="shared" si="70"/>
        <v>项</v>
      </c>
      <c r="P227" t="str">
        <f t="shared" si="59"/>
        <v>检验费</v>
      </c>
    </row>
    <row r="228" spans="1:16">
      <c r="A228" t="str">
        <f>"抗核提取物抗体测定(抗Sc-L-70)"</f>
        <v>抗核提取物抗体测定(抗Sc-L-70)</v>
      </c>
      <c r="B228" t="str">
        <f>"250402003-4"</f>
        <v>250402003-4</v>
      </c>
      <c r="C228" t="str">
        <f t="shared" si="58"/>
        <v>检验</v>
      </c>
      <c r="D228" t="str">
        <f t="shared" si="69"/>
        <v>002504020030000</v>
      </c>
      <c r="G228">
        <v>20</v>
      </c>
      <c r="I228">
        <v>1</v>
      </c>
      <c r="K228" t="str">
        <f>"KHTQWKTCD(KSC-L-"</f>
        <v>KHTQWKTCD(KSC-L-</v>
      </c>
      <c r="L228" t="str">
        <f>"RSRBTRWIPRSCL70"</f>
        <v>RSRBTRWIPRSCL70</v>
      </c>
      <c r="M228">
        <v>20</v>
      </c>
      <c r="N228">
        <v>250402003</v>
      </c>
      <c r="O228" t="str">
        <f t="shared" si="70"/>
        <v>项</v>
      </c>
      <c r="P228" t="str">
        <f t="shared" si="59"/>
        <v>检验费</v>
      </c>
    </row>
    <row r="229" spans="1:16">
      <c r="A229" t="str">
        <f>"抗核提取物抗体测定(抗SM)"</f>
        <v>抗核提取物抗体测定(抗SM)</v>
      </c>
      <c r="B229" t="str">
        <f>"250402003-5"</f>
        <v>250402003-5</v>
      </c>
      <c r="C229" t="str">
        <f t="shared" si="58"/>
        <v>检验</v>
      </c>
      <c r="D229" t="str">
        <f t="shared" si="69"/>
        <v>002504020030000</v>
      </c>
      <c r="G229">
        <v>20</v>
      </c>
      <c r="I229">
        <v>1</v>
      </c>
      <c r="K229" t="str">
        <f>"KHTQWKTCD(KSM)"</f>
        <v>KHTQWKTCD(KSM)</v>
      </c>
      <c r="L229" t="str">
        <f>"RSRBTRWIPRSM"</f>
        <v>RSRBTRWIPRSM</v>
      </c>
      <c r="M229">
        <v>20</v>
      </c>
      <c r="N229">
        <v>250402003</v>
      </c>
      <c r="O229" t="str">
        <f t="shared" si="70"/>
        <v>项</v>
      </c>
      <c r="P229" t="str">
        <f t="shared" si="59"/>
        <v>检验费</v>
      </c>
    </row>
    <row r="230" spans="1:16">
      <c r="A230" t="str">
        <f>"抗核提取物抗体测定(抗SSA抗体)"</f>
        <v>抗核提取物抗体测定(抗SSA抗体)</v>
      </c>
      <c r="B230" t="str">
        <f>"250402003-6"</f>
        <v>250402003-6</v>
      </c>
      <c r="C230" t="str">
        <f t="shared" si="58"/>
        <v>检验</v>
      </c>
      <c r="D230" t="str">
        <f t="shared" si="69"/>
        <v>002504020030000</v>
      </c>
      <c r="G230">
        <v>20</v>
      </c>
      <c r="I230" t="str">
        <f>"次"</f>
        <v>次</v>
      </c>
      <c r="K230" t="str">
        <f>"KHTQWKTCD(KSSAKT)"</f>
        <v>KHTQWKTCD(KSSAKT)</v>
      </c>
      <c r="L230" t="str">
        <f>"RSRBTRWIP(RssaRW)"</f>
        <v>RSRBTRWIP(RssaRW)</v>
      </c>
      <c r="M230">
        <v>20</v>
      </c>
      <c r="N230">
        <v>250402003</v>
      </c>
      <c r="O230" t="str">
        <f>"次"</f>
        <v>次</v>
      </c>
      <c r="P230" t="str">
        <f t="shared" si="59"/>
        <v>检验费</v>
      </c>
    </row>
    <row r="231" spans="1:16">
      <c r="A231" t="str">
        <f>"抗核提取物抗体测定（抗SSB)"</f>
        <v>抗核提取物抗体测定（抗SSB)</v>
      </c>
      <c r="B231" t="str">
        <f>"250402003-7"</f>
        <v>250402003-7</v>
      </c>
      <c r="C231" t="str">
        <f t="shared" si="58"/>
        <v>检验</v>
      </c>
      <c r="D231" t="str">
        <f t="shared" si="69"/>
        <v>002504020030000</v>
      </c>
      <c r="G231">
        <v>20</v>
      </c>
      <c r="I231" t="str">
        <f t="shared" ref="I231:I237" si="71">"项"</f>
        <v>项</v>
      </c>
      <c r="K231" t="str">
        <f>"KHTQWKTCD（KSSB)"</f>
        <v>KHTQWKTCD（KSSB)</v>
      </c>
      <c r="L231" t="str">
        <f>"RSRBTRWIPRSSB"</f>
        <v>RSRBTRWIPRSSB</v>
      </c>
      <c r="M231">
        <v>20</v>
      </c>
      <c r="N231">
        <v>250402003</v>
      </c>
      <c r="O231" t="str">
        <f t="shared" ref="O231:O252" si="72">"项"</f>
        <v>项</v>
      </c>
      <c r="P231" t="str">
        <f t="shared" si="59"/>
        <v>检验费</v>
      </c>
    </row>
    <row r="232" spans="1:16">
      <c r="A232" t="str">
        <f>"抗组织细胞抗体测定"</f>
        <v>抗组织细胞抗体测定</v>
      </c>
      <c r="B232">
        <v>250402014</v>
      </c>
      <c r="C232" t="str">
        <f t="shared" si="58"/>
        <v>检验</v>
      </c>
      <c r="D232" t="str">
        <f>"002504020140000"</f>
        <v>002504020140000</v>
      </c>
      <c r="G232">
        <v>20</v>
      </c>
      <c r="I232" t="str">
        <f t="shared" si="71"/>
        <v>项</v>
      </c>
      <c r="K232" t="str">
        <f>"KZZXBKTCD"</f>
        <v>KZZXBKTCD</v>
      </c>
      <c r="L232" t="str">
        <f>"RXXXERWIP"</f>
        <v>RXXXERWIP</v>
      </c>
      <c r="M232">
        <v>40</v>
      </c>
      <c r="N232">
        <v>250402014</v>
      </c>
      <c r="O232" t="str">
        <f t="shared" si="72"/>
        <v>项</v>
      </c>
      <c r="P232" t="str">
        <f t="shared" si="59"/>
        <v>检验费</v>
      </c>
    </row>
    <row r="233" spans="1:16">
      <c r="A233" t="str">
        <f>"抗心磷脂抗体测定（ACA）"</f>
        <v>抗心磷脂抗体测定（ACA）</v>
      </c>
      <c r="B233" t="str">
        <f>"250402016-c"</f>
        <v>250402016-c</v>
      </c>
      <c r="C233" t="str">
        <f t="shared" si="58"/>
        <v>检验</v>
      </c>
      <c r="D233" t="str">
        <f>"002504020160000"</f>
        <v>002504020160000</v>
      </c>
      <c r="G233">
        <v>70</v>
      </c>
      <c r="I233" t="str">
        <f>"次"</f>
        <v>次</v>
      </c>
      <c r="K233" t="str">
        <f>"KXLZKTCDACA"</f>
        <v>KXLZKTCDACA</v>
      </c>
      <c r="L233" t="str">
        <f>"RNDERWIPACA"</f>
        <v>RNDERWIPACA</v>
      </c>
      <c r="M233">
        <v>70</v>
      </c>
      <c r="N233" t="str">
        <f>"250402016-c"</f>
        <v>250402016-c</v>
      </c>
      <c r="O233" t="str">
        <f>"次"</f>
        <v>次</v>
      </c>
      <c r="P233" t="str">
        <f t="shared" si="59"/>
        <v>检验费</v>
      </c>
    </row>
    <row r="234" spans="1:16">
      <c r="A234" t="str">
        <f>"抗甲状腺球蛋白抗体测定(TGAb)"</f>
        <v>抗甲状腺球蛋白抗体测定(TGAb)</v>
      </c>
      <c r="B234" t="str">
        <f>"250402017-a"</f>
        <v>250402017-a</v>
      </c>
      <c r="C234" t="str">
        <f t="shared" si="58"/>
        <v>检验</v>
      </c>
      <c r="D234" t="str">
        <f>"002504020170000"</f>
        <v>002504020170000</v>
      </c>
      <c r="G234">
        <v>35</v>
      </c>
      <c r="I234" t="str">
        <f t="shared" si="71"/>
        <v>项</v>
      </c>
      <c r="K234" t="str">
        <f>"KJZXQDBKTC"</f>
        <v>KJZXQDBKTC</v>
      </c>
      <c r="L234" t="str">
        <f>"RLUEGNRRWI"</f>
        <v>RLUEGNRRWI</v>
      </c>
      <c r="M234">
        <v>35</v>
      </c>
      <c r="N234" t="str">
        <f>"250402017-a"</f>
        <v>250402017-a</v>
      </c>
      <c r="O234" t="str">
        <f t="shared" si="72"/>
        <v>项</v>
      </c>
      <c r="P234" t="str">
        <f t="shared" si="59"/>
        <v>检验费</v>
      </c>
    </row>
    <row r="235" spans="1:16">
      <c r="A235" t="str">
        <f>"甲状腺球蛋白测定"</f>
        <v>甲状腺球蛋白测定</v>
      </c>
      <c r="B235" t="str">
        <f>"250402017-b"</f>
        <v>250402017-b</v>
      </c>
      <c r="C235" t="str">
        <f t="shared" si="58"/>
        <v>检验</v>
      </c>
      <c r="D235" t="str">
        <f>"002503100530000"</f>
        <v>002503100530000</v>
      </c>
      <c r="G235">
        <v>55</v>
      </c>
      <c r="I235" t="str">
        <f t="shared" si="71"/>
        <v>项</v>
      </c>
      <c r="K235" t="str">
        <f>"JZXQDBCD"</f>
        <v>JZXQDBCD</v>
      </c>
      <c r="L235" t="str">
        <f>"LUEGNRIP"</f>
        <v>LUEGNRIP</v>
      </c>
      <c r="M235">
        <v>55</v>
      </c>
      <c r="N235" t="str">
        <f>"250402017-b"</f>
        <v>250402017-b</v>
      </c>
      <c r="O235" t="str">
        <f t="shared" si="72"/>
        <v>项</v>
      </c>
      <c r="P235" t="str">
        <f t="shared" si="59"/>
        <v>检验费</v>
      </c>
    </row>
    <row r="236" spans="1:16">
      <c r="A236" t="str">
        <f>"抗胰岛素抗体测定"</f>
        <v>抗胰岛素抗体测定</v>
      </c>
      <c r="B236" t="str">
        <f>"250402026-c-1"</f>
        <v>250402026-c-1</v>
      </c>
      <c r="C236" t="str">
        <f t="shared" si="58"/>
        <v>检验</v>
      </c>
      <c r="D236" t="str">
        <f>"002504020260000"</f>
        <v>002504020260000</v>
      </c>
      <c r="G236">
        <v>75</v>
      </c>
      <c r="I236" t="str">
        <f t="shared" si="71"/>
        <v>项</v>
      </c>
      <c r="K236" t="str">
        <f>"KYDSKTCD"</f>
        <v>KYDSKTCD</v>
      </c>
      <c r="L236" t="str">
        <f>"REQGRWIP"</f>
        <v>REQGRWIP</v>
      </c>
      <c r="M236">
        <v>75</v>
      </c>
      <c r="O236" t="str">
        <f t="shared" si="72"/>
        <v>项</v>
      </c>
      <c r="P236" t="str">
        <f t="shared" si="59"/>
        <v>检验费</v>
      </c>
    </row>
    <row r="237" spans="1:16">
      <c r="A237" t="str">
        <f>"类风湿因子(RF)测定"</f>
        <v>类风湿因子(RF)测定</v>
      </c>
      <c r="B237">
        <v>250402035</v>
      </c>
      <c r="C237" t="str">
        <f t="shared" si="58"/>
        <v>检验</v>
      </c>
      <c r="D237" t="str">
        <f>"002504020350000"</f>
        <v>002504020350000</v>
      </c>
      <c r="G237">
        <v>15</v>
      </c>
      <c r="I237" t="str">
        <f t="shared" si="71"/>
        <v>项</v>
      </c>
      <c r="K237" t="str">
        <f>"LFSYZ(RF)CD"</f>
        <v>LFSYZ(RF)CD</v>
      </c>
      <c r="L237" t="str">
        <f>"OMILB(rf)IP"</f>
        <v>OMILB(rf)IP</v>
      </c>
      <c r="M237">
        <v>15</v>
      </c>
      <c r="N237">
        <v>250402035</v>
      </c>
      <c r="O237" t="str">
        <f t="shared" si="72"/>
        <v>项</v>
      </c>
      <c r="P237" t="str">
        <f t="shared" si="59"/>
        <v>检验费</v>
      </c>
    </row>
    <row r="238" spans="1:16">
      <c r="A238" t="str">
        <f>"抗甲状腺过氧化物酶抗体"</f>
        <v>抗甲状腺过氧化物酶抗体</v>
      </c>
      <c r="B238">
        <v>250402062</v>
      </c>
      <c r="C238" t="str">
        <f t="shared" si="58"/>
        <v>检验</v>
      </c>
      <c r="D238" t="str">
        <f>"002504020180000"</f>
        <v>002504020180000</v>
      </c>
      <c r="G238">
        <v>70</v>
      </c>
      <c r="I238">
        <v>1</v>
      </c>
      <c r="K238" t="str">
        <f>"KJZXGYHWMKT"</f>
        <v>KJZXGYHWMKT</v>
      </c>
      <c r="L238" t="str">
        <f>"RLUEFRWTSRW"</f>
        <v>RLUEFRWTSRW</v>
      </c>
      <c r="M238">
        <v>70</v>
      </c>
      <c r="N238">
        <v>250402062</v>
      </c>
      <c r="O238" t="str">
        <f t="shared" si="72"/>
        <v>项</v>
      </c>
      <c r="P238" t="str">
        <f t="shared" si="59"/>
        <v>检验费</v>
      </c>
    </row>
    <row r="239" spans="1:16">
      <c r="A239" t="str">
        <f>"甲型肝炎IgM抗体测定(Anti-HAV IgM)（酶免法、放免法)"</f>
        <v>甲型肝炎IgM抗体测定(Anti-HAV IgM)（酶免法、放免法)</v>
      </c>
      <c r="B239" t="str">
        <f>"250403001-a"</f>
        <v>250403001-a</v>
      </c>
      <c r="C239" t="str">
        <f t="shared" si="58"/>
        <v>检验</v>
      </c>
      <c r="D239" t="str">
        <f>"002504030010000"</f>
        <v>002504030010000</v>
      </c>
      <c r="G239">
        <v>10</v>
      </c>
      <c r="I239" t="str">
        <f t="shared" ref="I239:I252" si="73">"项"</f>
        <v>项</v>
      </c>
      <c r="K239" t="str">
        <f>"JXGYIGMKTCDANTIH"</f>
        <v>JXGYIGMKTCDANTIH</v>
      </c>
      <c r="L239" t="str">
        <f>"LGEOIGMRWIPANTIH"</f>
        <v>LGEOIGMRWIPANTIH</v>
      </c>
      <c r="M239">
        <v>10</v>
      </c>
      <c r="N239" t="str">
        <f>"250403001-a"</f>
        <v>250403001-a</v>
      </c>
      <c r="O239" t="str">
        <f t="shared" si="72"/>
        <v>项</v>
      </c>
      <c r="P239" t="str">
        <f t="shared" si="59"/>
        <v>检验费</v>
      </c>
    </row>
    <row r="240" spans="1:16">
      <c r="A240" t="str">
        <f>"甲型肝炎IgM抗体测定(Anti-HAV)（发光法）"</f>
        <v>甲型肝炎IgM抗体测定(Anti-HAV)（发光法）</v>
      </c>
      <c r="B240" t="str">
        <f>"250403001-c"</f>
        <v>250403001-c</v>
      </c>
      <c r="C240" t="str">
        <f>"材料"</f>
        <v>材料</v>
      </c>
      <c r="D240" t="str">
        <f>"002504030010000"</f>
        <v>002504030010000</v>
      </c>
      <c r="G240">
        <v>75</v>
      </c>
      <c r="I240" t="str">
        <f t="shared" si="73"/>
        <v>项</v>
      </c>
      <c r="K240" t="str">
        <f>"JXGYIGMKTCDANTIH"</f>
        <v>JXGYIGMKTCDANTIH</v>
      </c>
      <c r="L240" t="str">
        <f>"LGEOIGMRWIPANTIH"</f>
        <v>LGEOIGMRWIPANTIH</v>
      </c>
      <c r="M240">
        <v>75</v>
      </c>
      <c r="O240" t="str">
        <f t="shared" si="72"/>
        <v>项</v>
      </c>
      <c r="P240" t="str">
        <f>"材料费"</f>
        <v>材料费</v>
      </c>
    </row>
    <row r="241" spans="1:16">
      <c r="A241" t="str">
        <f>"乙型肝炎表面抗原测定(HBsAg)ELISA法"</f>
        <v>乙型肝炎表面抗原测定(HBsAg)ELISA法</v>
      </c>
      <c r="B241">
        <v>250403004</v>
      </c>
      <c r="C241" t="str">
        <f t="shared" ref="C241:C271" si="74">"检验"</f>
        <v>检验</v>
      </c>
      <c r="D241" t="str">
        <f>"002504030040000"</f>
        <v>002504030040000</v>
      </c>
      <c r="G241">
        <v>8</v>
      </c>
      <c r="I241" t="str">
        <f t="shared" si="73"/>
        <v>项</v>
      </c>
      <c r="K241" t="str">
        <f>"YXGYBMKYCDHBSAGE"</f>
        <v>YXGYBMKYCDHBSAGE</v>
      </c>
      <c r="L241" t="str">
        <f>"NGEOGDRDIPHBSAGE"</f>
        <v>NGEOGDRDIPHBSAGE</v>
      </c>
      <c r="M241">
        <v>8</v>
      </c>
      <c r="N241">
        <v>250403004</v>
      </c>
      <c r="O241" t="str">
        <f t="shared" si="72"/>
        <v>项</v>
      </c>
      <c r="P241" t="str">
        <f t="shared" ref="P241:P302" si="75">"检验费"</f>
        <v>检验费</v>
      </c>
    </row>
    <row r="242" spans="1:16">
      <c r="A242" t="str">
        <f>"乙型肝炎表面抗原测定(HBsAg)（化学发光法、免疫荧光法）"</f>
        <v>乙型肝炎表面抗原测定(HBsAg)（化学发光法、免疫荧光法）</v>
      </c>
      <c r="B242" t="str">
        <f>"250403004-a"</f>
        <v>250403004-a</v>
      </c>
      <c r="C242" t="str">
        <f t="shared" si="74"/>
        <v>检验</v>
      </c>
      <c r="D242" t="str">
        <f>"002504030040000"</f>
        <v>002504030040000</v>
      </c>
      <c r="G242">
        <v>25</v>
      </c>
      <c r="I242" t="str">
        <f t="shared" si="73"/>
        <v>项</v>
      </c>
      <c r="K242" t="str">
        <f>"YXGYBMKYCD(HBSAG"</f>
        <v>YXGYBMKYCD(HBSAG</v>
      </c>
      <c r="L242" t="str">
        <f>"NGEOGDRDIPHBSAG"</f>
        <v>NGEOGDRDIPHBSAG</v>
      </c>
      <c r="M242">
        <v>25</v>
      </c>
      <c r="N242" t="str">
        <f>"250403004-a"</f>
        <v>250403004-a</v>
      </c>
      <c r="O242" t="str">
        <f t="shared" si="72"/>
        <v>项</v>
      </c>
      <c r="P242" t="str">
        <f t="shared" si="75"/>
        <v>检验费</v>
      </c>
    </row>
    <row r="243" spans="1:16">
      <c r="A243" t="str">
        <f>"乙型肝炎表面抗体测定(Anti-HBs)ELISA法"</f>
        <v>乙型肝炎表面抗体测定(Anti-HBs)ELISA法</v>
      </c>
      <c r="B243">
        <v>250403005</v>
      </c>
      <c r="C243" t="str">
        <f t="shared" si="74"/>
        <v>检验</v>
      </c>
      <c r="D243" t="str">
        <f>"002504030050000"</f>
        <v>002504030050000</v>
      </c>
      <c r="G243">
        <v>8</v>
      </c>
      <c r="I243" t="str">
        <f t="shared" si="73"/>
        <v>项</v>
      </c>
      <c r="K243" t="str">
        <f>"YXGYBMKTCDANTIHB"</f>
        <v>YXGYBMKTCDANTIHB</v>
      </c>
      <c r="L243" t="str">
        <f>"NGEOGDRWIPANTIHB"</f>
        <v>NGEOGDRWIPANTIHB</v>
      </c>
      <c r="M243">
        <v>8</v>
      </c>
      <c r="N243">
        <v>250403005</v>
      </c>
      <c r="O243" t="str">
        <f t="shared" si="72"/>
        <v>项</v>
      </c>
      <c r="P243" t="str">
        <f t="shared" si="75"/>
        <v>检验费</v>
      </c>
    </row>
    <row r="244" spans="1:16">
      <c r="A244" t="str">
        <f>"乙型肝炎表面抗体测定(Anti-HBs)化学发光法、免疫荧光法"</f>
        <v>乙型肝炎表面抗体测定(Anti-HBs)化学发光法、免疫荧光法</v>
      </c>
      <c r="B244" t="str">
        <f>"250403005-a"</f>
        <v>250403005-a</v>
      </c>
      <c r="C244" t="str">
        <f t="shared" si="74"/>
        <v>检验</v>
      </c>
      <c r="D244" t="str">
        <f>"002504030050000"</f>
        <v>002504030050000</v>
      </c>
      <c r="G244">
        <v>25</v>
      </c>
      <c r="I244" t="str">
        <f t="shared" si="73"/>
        <v>项</v>
      </c>
      <c r="K244" t="str">
        <f>"YXGYBMKTCDANTIHB"</f>
        <v>YXGYBMKTCDANTIHB</v>
      </c>
      <c r="L244" t="str">
        <f>"NGEOGDRWIPANTIHB"</f>
        <v>NGEOGDRWIPANTIHB</v>
      </c>
      <c r="M244">
        <v>25</v>
      </c>
      <c r="N244" t="str">
        <f>"250403005-a"</f>
        <v>250403005-a</v>
      </c>
      <c r="O244" t="str">
        <f t="shared" si="72"/>
        <v>项</v>
      </c>
      <c r="P244" t="str">
        <f t="shared" si="75"/>
        <v>检验费</v>
      </c>
    </row>
    <row r="245" spans="1:16">
      <c r="A245" t="str">
        <f>"乙型肝炎e抗原测定(HBeAg)（免疫学法）"</f>
        <v>乙型肝炎e抗原测定(HBeAg)（免疫学法）</v>
      </c>
      <c r="B245">
        <v>250403006</v>
      </c>
      <c r="C245" t="str">
        <f t="shared" si="74"/>
        <v>检验</v>
      </c>
      <c r="D245" t="str">
        <f>"002504030060000"</f>
        <v>002504030060000</v>
      </c>
      <c r="G245">
        <v>4</v>
      </c>
      <c r="I245" t="str">
        <f t="shared" si="73"/>
        <v>项</v>
      </c>
      <c r="K245" t="str">
        <f>"YXGYEKYCDHBEAGMY"</f>
        <v>YXGYEKYCDHBEAGMY</v>
      </c>
      <c r="L245" t="str">
        <f>"NGEOERDIPHBEAGQU"</f>
        <v>NGEOERDIPHBEAGQU</v>
      </c>
      <c r="M245">
        <v>4</v>
      </c>
      <c r="N245">
        <v>250403006</v>
      </c>
      <c r="O245" t="str">
        <f t="shared" si="72"/>
        <v>项</v>
      </c>
      <c r="P245" t="str">
        <f t="shared" si="75"/>
        <v>检验费</v>
      </c>
    </row>
    <row r="246" spans="1:16">
      <c r="A246" t="str">
        <f>"乙型肝炎e抗原测定(HBeAg)（化学发光法、免疫荧光法）"</f>
        <v>乙型肝炎e抗原测定(HBeAg)（化学发光法、免疫荧光法）</v>
      </c>
      <c r="B246" t="str">
        <f>"250403006-a"</f>
        <v>250403006-a</v>
      </c>
      <c r="C246" t="str">
        <f t="shared" si="74"/>
        <v>检验</v>
      </c>
      <c r="D246" t="str">
        <f>"002504030060000"</f>
        <v>002504030060000</v>
      </c>
      <c r="G246">
        <v>25</v>
      </c>
      <c r="I246" t="str">
        <f t="shared" si="73"/>
        <v>项</v>
      </c>
      <c r="K246" t="str">
        <f>"YXGYEKYCD(HBEAG)"</f>
        <v>YXGYEKYCD(HBEAG)</v>
      </c>
      <c r="L246" t="str">
        <f>"NGEOeRDIP(hbeag)"</f>
        <v>NGEOeRDIP(hbeag)</v>
      </c>
      <c r="M246">
        <v>25</v>
      </c>
      <c r="N246" t="str">
        <f>"250403006-a"</f>
        <v>250403006-a</v>
      </c>
      <c r="O246" t="str">
        <f t="shared" si="72"/>
        <v>项</v>
      </c>
      <c r="P246" t="str">
        <f t="shared" si="75"/>
        <v>检验费</v>
      </c>
    </row>
    <row r="247" spans="1:16">
      <c r="A247" t="str">
        <f>"乙型肝炎e抗体测定(Anti-HBe)免疫学法"</f>
        <v>乙型肝炎e抗体测定(Anti-HBe)免疫学法</v>
      </c>
      <c r="B247">
        <v>250403007</v>
      </c>
      <c r="C247" t="str">
        <f t="shared" si="74"/>
        <v>检验</v>
      </c>
      <c r="D247" t="str">
        <f>"002504030070000"</f>
        <v>002504030070000</v>
      </c>
      <c r="G247">
        <v>4</v>
      </c>
      <c r="I247" t="str">
        <f t="shared" si="73"/>
        <v>项</v>
      </c>
      <c r="K247" t="str">
        <f>"YXGYEKTCDANTIHBE"</f>
        <v>YXGYEKTCDANTIHBE</v>
      </c>
      <c r="L247" t="str">
        <f>"NGEOERWIPANTIHBE"</f>
        <v>NGEOERWIPANTIHBE</v>
      </c>
      <c r="M247">
        <v>4</v>
      </c>
      <c r="N247">
        <v>250403007</v>
      </c>
      <c r="O247" t="str">
        <f t="shared" si="72"/>
        <v>项</v>
      </c>
      <c r="P247" t="str">
        <f t="shared" si="75"/>
        <v>检验费</v>
      </c>
    </row>
    <row r="248" spans="1:16">
      <c r="A248" t="str">
        <f>"乙型肝炎e抗体测定(Anti-HBe)化学发光法、免疫荧光法"</f>
        <v>乙型肝炎e抗体测定(Anti-HBe)化学发光法、免疫荧光法</v>
      </c>
      <c r="B248" t="str">
        <f>"250403007-a"</f>
        <v>250403007-a</v>
      </c>
      <c r="C248" t="str">
        <f t="shared" si="74"/>
        <v>检验</v>
      </c>
      <c r="D248" t="str">
        <f>"002504030070000"</f>
        <v>002504030070000</v>
      </c>
      <c r="G248">
        <v>20</v>
      </c>
      <c r="I248" t="str">
        <f t="shared" si="73"/>
        <v>项</v>
      </c>
      <c r="K248" t="str">
        <f>"YXGYEKTCDANTIHBE"</f>
        <v>YXGYEKTCDANTIHBE</v>
      </c>
      <c r="L248" t="str">
        <f>"NGEOERWIPANTIHBE"</f>
        <v>NGEOERWIPANTIHBE</v>
      </c>
      <c r="M248">
        <v>20</v>
      </c>
      <c r="N248" t="str">
        <f>"250403007-a"</f>
        <v>250403007-a</v>
      </c>
      <c r="O248" t="str">
        <f t="shared" si="72"/>
        <v>项</v>
      </c>
      <c r="P248" t="str">
        <f t="shared" si="75"/>
        <v>检验费</v>
      </c>
    </row>
    <row r="249" spans="1:16">
      <c r="A249" t="str">
        <f>"乙型肝炎核心抗体测定(Anti-HBc)（ELISA法）"</f>
        <v>乙型肝炎核心抗体测定(Anti-HBc)（ELISA法）</v>
      </c>
      <c r="B249">
        <v>250403009</v>
      </c>
      <c r="C249" t="str">
        <f t="shared" si="74"/>
        <v>检验</v>
      </c>
      <c r="D249" t="str">
        <f>"002504030090000"</f>
        <v>002504030090000</v>
      </c>
      <c r="G249">
        <v>8</v>
      </c>
      <c r="I249" t="str">
        <f t="shared" si="73"/>
        <v>项</v>
      </c>
      <c r="K249" t="str">
        <f>"YXGYHXKTCD(ANTI-"</f>
        <v>YXGYHXKTCD(ANTI-</v>
      </c>
      <c r="L249" t="str">
        <f>"NGEOSNRWIPANTIHB"</f>
        <v>NGEOSNRWIPANTIHB</v>
      </c>
      <c r="M249">
        <v>8</v>
      </c>
      <c r="N249">
        <v>250403009</v>
      </c>
      <c r="O249" t="str">
        <f t="shared" si="72"/>
        <v>项</v>
      </c>
      <c r="P249" t="str">
        <f t="shared" si="75"/>
        <v>检验费</v>
      </c>
    </row>
    <row r="250" spans="1:16">
      <c r="A250" t="str">
        <f>"乙型肝炎核心抗体测定(Anti-HBc)化学发光法、免疫荧光法"</f>
        <v>乙型肝炎核心抗体测定(Anti-HBc)化学发光法、免疫荧光法</v>
      </c>
      <c r="B250" t="str">
        <f>"250403009-a"</f>
        <v>250403009-a</v>
      </c>
      <c r="C250" t="str">
        <f t="shared" si="74"/>
        <v>检验</v>
      </c>
      <c r="D250" t="str">
        <f>"002504030090000"</f>
        <v>002504030090000</v>
      </c>
      <c r="G250">
        <v>20</v>
      </c>
      <c r="I250" t="str">
        <f t="shared" si="73"/>
        <v>项</v>
      </c>
      <c r="K250" t="str">
        <f>"YXGYHXKTCDANTIHB"</f>
        <v>YXGYHXKTCDANTIHB</v>
      </c>
      <c r="L250" t="str">
        <f>"NGEOSNRWIPANTIHB"</f>
        <v>NGEOSNRWIPANTIHB</v>
      </c>
      <c r="M250">
        <v>20</v>
      </c>
      <c r="N250" t="str">
        <f>"250403009-a"</f>
        <v>250403009-a</v>
      </c>
      <c r="O250" t="str">
        <f t="shared" si="72"/>
        <v>项</v>
      </c>
      <c r="P250" t="str">
        <f t="shared" si="75"/>
        <v>检验费</v>
      </c>
    </row>
    <row r="251" spans="1:16">
      <c r="A251" t="str">
        <f>"丙型肝炎抗体测定(Anti-HCV)"</f>
        <v>丙型肝炎抗体测定(Anti-HCV)</v>
      </c>
      <c r="B251">
        <v>250403014</v>
      </c>
      <c r="C251" t="str">
        <f t="shared" si="74"/>
        <v>检验</v>
      </c>
      <c r="D251" t="str">
        <f>"002504030140000"</f>
        <v>002504030140000</v>
      </c>
      <c r="G251">
        <v>25</v>
      </c>
      <c r="I251" t="str">
        <f t="shared" si="73"/>
        <v>项</v>
      </c>
      <c r="K251" t="str">
        <f>"BXGYKTCDANTIHCV"</f>
        <v>BXGYKTCDANTIHCV</v>
      </c>
      <c r="L251" t="str">
        <f>"GGEORWIPANTIHCV"</f>
        <v>GGEORWIPANTIHCV</v>
      </c>
      <c r="M251">
        <v>25</v>
      </c>
      <c r="N251">
        <v>250403014</v>
      </c>
      <c r="O251" t="str">
        <f t="shared" si="72"/>
        <v>项</v>
      </c>
      <c r="P251" t="str">
        <f t="shared" si="75"/>
        <v>检验费</v>
      </c>
    </row>
    <row r="252" spans="1:16">
      <c r="A252" t="str">
        <f>"丁型肝炎抗体测定(Anti-HDV)"</f>
        <v>丁型肝炎抗体测定(Anti-HDV)</v>
      </c>
      <c r="B252">
        <v>250403015</v>
      </c>
      <c r="C252" t="str">
        <f t="shared" si="74"/>
        <v>检验</v>
      </c>
      <c r="D252" t="str">
        <f>"002504030150000"</f>
        <v>002504030150000</v>
      </c>
      <c r="G252">
        <v>35</v>
      </c>
      <c r="I252" t="str">
        <f t="shared" si="73"/>
        <v>项</v>
      </c>
      <c r="K252" t="str">
        <f>"DXGYKTCD(ANTI-HDV)"</f>
        <v>DXGYKTCD(ANTI-HDV)</v>
      </c>
      <c r="L252" t="str">
        <f>"SGEORWIP(anti-hdv)"</f>
        <v>SGEORWIP(anti-hdv)</v>
      </c>
      <c r="M252">
        <v>35</v>
      </c>
      <c r="N252">
        <v>250403015</v>
      </c>
      <c r="O252" t="str">
        <f t="shared" si="72"/>
        <v>项</v>
      </c>
      <c r="P252" t="str">
        <f t="shared" si="75"/>
        <v>检验费</v>
      </c>
    </row>
    <row r="253" spans="1:16">
      <c r="A253" t="str">
        <f>"戊型肝炎IgM抗体测定"</f>
        <v>戊型肝炎IgM抗体测定</v>
      </c>
      <c r="B253" t="str">
        <f>"250403017-2"</f>
        <v>250403017-2</v>
      </c>
      <c r="C253" t="str">
        <f t="shared" si="74"/>
        <v>检验</v>
      </c>
      <c r="D253" t="str">
        <f>"002504030170000"</f>
        <v>002504030170000</v>
      </c>
      <c r="G253">
        <v>30</v>
      </c>
      <c r="I253">
        <v>1</v>
      </c>
      <c r="K253" t="str">
        <f>"WXGYIGMKTCD"</f>
        <v>WXGYIGMKTCD</v>
      </c>
      <c r="L253" t="str">
        <f>"DGEOIGMRWIP"</f>
        <v>DGEOIGMRWIP</v>
      </c>
      <c r="M253">
        <v>30</v>
      </c>
      <c r="N253">
        <v>250403017</v>
      </c>
      <c r="O253" t="str">
        <f>"次"</f>
        <v>次</v>
      </c>
      <c r="P253" t="str">
        <f t="shared" si="75"/>
        <v>检验费</v>
      </c>
    </row>
    <row r="254" spans="1:16">
      <c r="A254" t="str">
        <f>"庚型肝炎IgG抗体测定"</f>
        <v>庚型肝炎IgG抗体测定</v>
      </c>
      <c r="B254">
        <v>250403018</v>
      </c>
      <c r="C254" t="str">
        <f t="shared" si="74"/>
        <v>检验</v>
      </c>
      <c r="D254" t="str">
        <f>"002504030180000"</f>
        <v>002504030180000</v>
      </c>
      <c r="G254">
        <v>25</v>
      </c>
      <c r="I254" t="str">
        <f t="shared" ref="I254:I256" si="76">"项"</f>
        <v>项</v>
      </c>
      <c r="K254" t="str">
        <f>"GXGYIGKTCD"</f>
        <v>GXGYIGKTCD</v>
      </c>
      <c r="L254" t="str">
        <f>"YGEOIGRWIP"</f>
        <v>YGEOIGRWIP</v>
      </c>
      <c r="M254">
        <v>25</v>
      </c>
      <c r="N254">
        <v>250403018</v>
      </c>
      <c r="O254" t="str">
        <f t="shared" ref="O254:O257" si="77">"项"</f>
        <v>项</v>
      </c>
      <c r="P254" t="str">
        <f t="shared" si="75"/>
        <v>检验费</v>
      </c>
    </row>
    <row r="255" spans="1:16">
      <c r="A255" t="str">
        <f>"人免疫缺陷病毒抗体测定(Anti-HIV)"</f>
        <v>人免疫缺陷病毒抗体测定(Anti-HIV)</v>
      </c>
      <c r="B255" t="str">
        <f>"250403019-a"</f>
        <v>250403019-a</v>
      </c>
      <c r="C255" t="str">
        <f t="shared" si="74"/>
        <v>检验</v>
      </c>
      <c r="D255" t="str">
        <f>"002504030190000"</f>
        <v>002504030190000</v>
      </c>
      <c r="G255">
        <v>35</v>
      </c>
      <c r="I255" t="str">
        <f t="shared" si="76"/>
        <v>项</v>
      </c>
      <c r="K255" t="str">
        <f>"RMYQXBDKTCDANTIH"</f>
        <v>RMYQXBDKTCDANTIH</v>
      </c>
      <c r="L255" t="str">
        <f>"WQURBUGRWIPANTIH"</f>
        <v>WQURBUGRWIPANTIH</v>
      </c>
      <c r="M255">
        <v>35</v>
      </c>
      <c r="N255" t="str">
        <f>"250403019-a"</f>
        <v>250403019-a</v>
      </c>
      <c r="O255" t="str">
        <f t="shared" si="77"/>
        <v>项</v>
      </c>
      <c r="P255" t="str">
        <f t="shared" si="75"/>
        <v>检验费</v>
      </c>
    </row>
    <row r="256" spans="1:16">
      <c r="A256" t="str">
        <f>"弓形体抗体测定IgG（各种免疫学方法）"</f>
        <v>弓形体抗体测定IgG（各种免疫学方法）</v>
      </c>
      <c r="B256">
        <v>250403020</v>
      </c>
      <c r="C256" t="str">
        <f t="shared" si="74"/>
        <v>检验</v>
      </c>
      <c r="D256" t="str">
        <f>"002504030200000"</f>
        <v>002504030200000</v>
      </c>
      <c r="G256">
        <v>25</v>
      </c>
      <c r="I256" t="str">
        <f t="shared" si="76"/>
        <v>项</v>
      </c>
      <c r="K256" t="str">
        <f>"GXTKTCDIGGGZMYXF"</f>
        <v>GXTKTCDIGGGZMYXF</v>
      </c>
      <c r="L256" t="str">
        <f>"XGWRWIPIGGTTQUIY"</f>
        <v>XGWRWIPIGGTTQUIY</v>
      </c>
      <c r="M256">
        <v>25</v>
      </c>
      <c r="N256">
        <v>250403020</v>
      </c>
      <c r="O256" t="str">
        <f t="shared" si="77"/>
        <v>项</v>
      </c>
      <c r="P256" t="str">
        <f t="shared" si="75"/>
        <v>检验费</v>
      </c>
    </row>
    <row r="257" spans="1:16">
      <c r="A257" t="str">
        <f>"弓形体抗体测定IgM（各种免疫学方法）"</f>
        <v>弓形体抗体测定IgM（各种免疫学方法）</v>
      </c>
      <c r="B257" t="str">
        <f>"250403020-2"</f>
        <v>250403020-2</v>
      </c>
      <c r="C257" t="str">
        <f t="shared" si="74"/>
        <v>检验</v>
      </c>
      <c r="D257" t="str">
        <f>"002504030200000"</f>
        <v>002504030200000</v>
      </c>
      <c r="G257">
        <v>25</v>
      </c>
      <c r="I257" t="str">
        <f>"-"</f>
        <v>-</v>
      </c>
      <c r="K257" t="str">
        <f>"GXTKTCDIGM"</f>
        <v>GXTKTCDIGM</v>
      </c>
      <c r="L257" t="str">
        <f>"XGWRWIPIGM"</f>
        <v>XGWRWIPIGM</v>
      </c>
      <c r="M257">
        <v>25</v>
      </c>
      <c r="N257" t="str">
        <f>"250403020-2"</f>
        <v>250403020-2</v>
      </c>
      <c r="O257" t="str">
        <f t="shared" si="77"/>
        <v>项</v>
      </c>
      <c r="P257" t="str">
        <f t="shared" si="75"/>
        <v>检验费</v>
      </c>
    </row>
    <row r="258" spans="1:16">
      <c r="A258" t="str">
        <f>"风疹病毒抗体测定"</f>
        <v>风疹病毒抗体测定</v>
      </c>
      <c r="B258">
        <v>250403021</v>
      </c>
      <c r="C258" t="str">
        <f t="shared" si="74"/>
        <v>检验</v>
      </c>
      <c r="D258" t="str">
        <f>"002504030210000"</f>
        <v>002504030210000</v>
      </c>
      <c r="G258">
        <v>20</v>
      </c>
      <c r="I258">
        <v>1</v>
      </c>
      <c r="K258" t="str">
        <f>"FZBDKTCD"</f>
        <v>FZBDKTCD</v>
      </c>
      <c r="L258" t="str">
        <f>"MUUGRWIP"</f>
        <v>MUUGRWIP</v>
      </c>
      <c r="M258">
        <v>20</v>
      </c>
      <c r="N258">
        <v>250403021</v>
      </c>
      <c r="O258" t="str">
        <f t="shared" ref="O258:O261" si="78">"次"</f>
        <v>次</v>
      </c>
      <c r="P258" t="str">
        <f t="shared" si="75"/>
        <v>检验费</v>
      </c>
    </row>
    <row r="259" spans="1:16">
      <c r="A259" t="str">
        <f>"风疹病毒抗体测定IgG（各种免疫学方法）"</f>
        <v>风疹病毒抗体测定IgG（各种免疫学方法）</v>
      </c>
      <c r="B259" t="str">
        <f>"250403021-1"</f>
        <v>250403021-1</v>
      </c>
      <c r="C259" t="str">
        <f t="shared" si="74"/>
        <v>检验</v>
      </c>
      <c r="D259" t="str">
        <f>"002504030210000"</f>
        <v>002504030210000</v>
      </c>
      <c r="G259">
        <v>20</v>
      </c>
      <c r="I259" t="str">
        <f>"次"</f>
        <v>次</v>
      </c>
      <c r="K259" t="str">
        <f>"FZBDKTCDIGGGZMYX"</f>
        <v>FZBDKTCDIGGGZMYX</v>
      </c>
      <c r="L259" t="str">
        <f>"MUUGRWIPIGGTTQUI"</f>
        <v>MUUGRWIPIGGTTQUI</v>
      </c>
      <c r="M259">
        <v>20</v>
      </c>
      <c r="N259">
        <v>250403021</v>
      </c>
      <c r="O259" t="str">
        <f t="shared" si="78"/>
        <v>次</v>
      </c>
      <c r="P259" t="str">
        <f t="shared" si="75"/>
        <v>检验费</v>
      </c>
    </row>
    <row r="260" spans="1:16">
      <c r="A260" t="str">
        <f>"巨细胞病毒抗体测定"</f>
        <v>巨细胞病毒抗体测定</v>
      </c>
      <c r="B260">
        <v>250403022</v>
      </c>
      <c r="C260" t="str">
        <f t="shared" si="74"/>
        <v>检验</v>
      </c>
      <c r="D260" t="str">
        <f>"002504030220000"</f>
        <v>002504030220000</v>
      </c>
      <c r="G260">
        <v>25</v>
      </c>
      <c r="I260" t="str">
        <f t="shared" ref="I260:I268" si="79">"项"</f>
        <v>项</v>
      </c>
      <c r="K260" t="str">
        <f>"JXBBDKTCD"</f>
        <v>JXBBDKTCD</v>
      </c>
      <c r="L260" t="str">
        <f>"AXEUGRWIP"</f>
        <v>AXEUGRWIP</v>
      </c>
      <c r="M260">
        <v>25</v>
      </c>
      <c r="N260">
        <v>250403022</v>
      </c>
      <c r="O260" t="str">
        <f t="shared" ref="O260:O270" si="80">"项"</f>
        <v>项</v>
      </c>
      <c r="P260" t="str">
        <f t="shared" si="75"/>
        <v>检验费</v>
      </c>
    </row>
    <row r="261" spans="1:16">
      <c r="A261" t="str">
        <f>"巨细胞病毒抗体测定IgG"</f>
        <v>巨细胞病毒抗体测定IgG</v>
      </c>
      <c r="B261" t="str">
        <f>"250403022-1"</f>
        <v>250403022-1</v>
      </c>
      <c r="C261" t="str">
        <f t="shared" si="74"/>
        <v>检验</v>
      </c>
      <c r="D261" t="str">
        <f>"002504030220000"</f>
        <v>002504030220000</v>
      </c>
      <c r="G261">
        <v>25</v>
      </c>
      <c r="I261" t="str">
        <f>"次"</f>
        <v>次</v>
      </c>
      <c r="K261" t="str">
        <f>"JXBBDKTCDIGG"</f>
        <v>JXBBDKTCDIGG</v>
      </c>
      <c r="L261" t="str">
        <f>"AXEUGRWIPIGG"</f>
        <v>AXEUGRWIPIGG</v>
      </c>
      <c r="M261">
        <v>25</v>
      </c>
      <c r="N261">
        <v>250403022</v>
      </c>
      <c r="O261" t="str">
        <f t="shared" si="78"/>
        <v>次</v>
      </c>
      <c r="P261" t="str">
        <f t="shared" si="75"/>
        <v>检验费</v>
      </c>
    </row>
    <row r="262" spans="1:16">
      <c r="A262" t="str">
        <f>"单纯疱疹病毒Ⅱ型抗体测定（各种免疫学方法）"</f>
        <v>单纯疱疹病毒Ⅱ型抗体测定（各种免疫学方法）</v>
      </c>
      <c r="B262">
        <v>250403023</v>
      </c>
      <c r="C262" t="str">
        <f t="shared" si="74"/>
        <v>检验</v>
      </c>
      <c r="D262" t="str">
        <f>"002504030230000"</f>
        <v>002504030230000</v>
      </c>
      <c r="G262">
        <v>25</v>
      </c>
      <c r="I262" t="str">
        <f>"-"</f>
        <v>-</v>
      </c>
      <c r="K262" t="str">
        <f>"DCZBDXKTCDGZMYXF"</f>
        <v>DCZBDXKTCDGZMYXF</v>
      </c>
      <c r="L262" t="str">
        <f>"UXUUUGGRWIPTTQUI"</f>
        <v>UXUUUGGRWIPTTQUI</v>
      </c>
      <c r="M262">
        <v>25</v>
      </c>
      <c r="N262">
        <v>250403023</v>
      </c>
      <c r="O262" t="str">
        <f t="shared" si="80"/>
        <v>项</v>
      </c>
      <c r="P262" t="str">
        <f t="shared" si="75"/>
        <v>检验费</v>
      </c>
    </row>
    <row r="263" spans="1:16">
      <c r="A263" t="str">
        <f>"单纯疱疹病毒抗体测定"</f>
        <v>单纯疱疹病毒抗体测定</v>
      </c>
      <c r="B263">
        <v>250403024</v>
      </c>
      <c r="C263" t="str">
        <f t="shared" si="74"/>
        <v>检验</v>
      </c>
      <c r="D263" t="str">
        <f>"002504030230000"</f>
        <v>002504030230000</v>
      </c>
      <c r="G263">
        <v>25</v>
      </c>
      <c r="I263" t="str">
        <f t="shared" si="79"/>
        <v>项</v>
      </c>
      <c r="K263" t="str">
        <f>"DCPZBDKTCD"</f>
        <v>DCPZBDKTCD</v>
      </c>
      <c r="L263" t="str">
        <f>"UXUUUGRWIP"</f>
        <v>UXUUUGRWIP</v>
      </c>
      <c r="M263">
        <v>25</v>
      </c>
      <c r="N263">
        <v>250403024</v>
      </c>
      <c r="O263" t="str">
        <f t="shared" si="80"/>
        <v>项</v>
      </c>
      <c r="P263" t="str">
        <f t="shared" si="75"/>
        <v>检验费</v>
      </c>
    </row>
    <row r="264" spans="1:16">
      <c r="A264" t="str">
        <f>"呼吸道合胞病毒抗体测定"</f>
        <v>呼吸道合胞病毒抗体测定</v>
      </c>
      <c r="B264">
        <v>250403026</v>
      </c>
      <c r="C264" t="str">
        <f t="shared" si="74"/>
        <v>检验</v>
      </c>
      <c r="D264" t="str">
        <f>"002504030260000"</f>
        <v>002504030260000</v>
      </c>
      <c r="G264">
        <v>20</v>
      </c>
      <c r="I264" t="str">
        <f t="shared" si="79"/>
        <v>项</v>
      </c>
      <c r="K264" t="str">
        <f>"HXDHBBDKTCD"</f>
        <v>HXDHBBDKTCD</v>
      </c>
      <c r="L264" t="str">
        <f>"KKUWEUGRWIP"</f>
        <v>KKUWEUGRWIP</v>
      </c>
      <c r="M264">
        <v>20</v>
      </c>
      <c r="N264">
        <v>250403026</v>
      </c>
      <c r="O264" t="str">
        <f t="shared" si="80"/>
        <v>项</v>
      </c>
      <c r="P264" t="str">
        <f t="shared" si="75"/>
        <v>检验费</v>
      </c>
    </row>
    <row r="265" spans="1:16">
      <c r="A265" t="str">
        <f>"副流感病毒抗体测定"</f>
        <v>副流感病毒抗体测定</v>
      </c>
      <c r="B265">
        <v>250403028</v>
      </c>
      <c r="C265" t="str">
        <f t="shared" si="74"/>
        <v>检验</v>
      </c>
      <c r="D265" t="str">
        <f>"002504030280000"</f>
        <v>002504030280000</v>
      </c>
      <c r="G265">
        <v>20</v>
      </c>
      <c r="I265" t="str">
        <f t="shared" si="79"/>
        <v>项</v>
      </c>
      <c r="K265" t="str">
        <f>"FLGBDKTCD"</f>
        <v>FLGBDKTCD</v>
      </c>
      <c r="L265" t="str">
        <f>"GIDUGRWIP"</f>
        <v>GIDUGRWIP</v>
      </c>
      <c r="M265">
        <v>20</v>
      </c>
      <c r="N265">
        <v>250403028</v>
      </c>
      <c r="O265" t="str">
        <f t="shared" si="80"/>
        <v>项</v>
      </c>
      <c r="P265" t="str">
        <f t="shared" si="75"/>
        <v>检验费</v>
      </c>
    </row>
    <row r="266" spans="1:16">
      <c r="A266" t="str">
        <f>"腺病毒抗体测定"</f>
        <v>腺病毒抗体测定</v>
      </c>
      <c r="B266">
        <v>250403031</v>
      </c>
      <c r="C266" t="str">
        <f t="shared" si="74"/>
        <v>检验</v>
      </c>
      <c r="D266" t="str">
        <f>"002504030310000"</f>
        <v>002504030310000</v>
      </c>
      <c r="G266">
        <v>15</v>
      </c>
      <c r="I266" t="str">
        <f t="shared" si="79"/>
        <v>项</v>
      </c>
      <c r="K266" t="str">
        <f>"XBDKTCD"</f>
        <v>XBDKTCD</v>
      </c>
      <c r="L266" t="str">
        <f>"EUGRWIP"</f>
        <v>EUGRWIP</v>
      </c>
      <c r="M266">
        <v>15</v>
      </c>
      <c r="N266">
        <v>250403031</v>
      </c>
      <c r="O266" t="str">
        <f t="shared" si="80"/>
        <v>项</v>
      </c>
      <c r="P266" t="str">
        <f t="shared" si="75"/>
        <v>检验费</v>
      </c>
    </row>
    <row r="267" spans="1:16">
      <c r="A267" t="str">
        <f>"病毒血清学试验"</f>
        <v>病毒血清学试验</v>
      </c>
      <c r="B267">
        <v>250403035</v>
      </c>
      <c r="C267" t="str">
        <f t="shared" si="74"/>
        <v>检验</v>
      </c>
      <c r="D267" t="str">
        <f>"002504030350000"</f>
        <v>002504030350000</v>
      </c>
      <c r="G267">
        <v>25</v>
      </c>
      <c r="I267" t="str">
        <f t="shared" si="79"/>
        <v>项</v>
      </c>
      <c r="K267" t="str">
        <f>"BDXQXSY"</f>
        <v>BDXQXSY</v>
      </c>
      <c r="L267" t="str">
        <f>"UGTIIYC"</f>
        <v>UGTIIYC</v>
      </c>
      <c r="M267">
        <v>25</v>
      </c>
      <c r="N267">
        <v>250403035</v>
      </c>
      <c r="O267" t="str">
        <f t="shared" si="80"/>
        <v>项</v>
      </c>
      <c r="P267" t="str">
        <f t="shared" si="75"/>
        <v>检验费</v>
      </c>
    </row>
    <row r="268" spans="1:16">
      <c r="A268" t="str">
        <f>"细菌抗体测定（各种免疫学方法）(幽门螺杆菌抗体)"</f>
        <v>细菌抗体测定（各种免疫学方法）(幽门螺杆菌抗体)</v>
      </c>
      <c r="B268" t="str">
        <f>"250403042-1"</f>
        <v>250403042-1</v>
      </c>
      <c r="C268" t="str">
        <f t="shared" si="74"/>
        <v>检验</v>
      </c>
      <c r="D268" t="str">
        <f>"002504030420000"</f>
        <v>002504030420000</v>
      </c>
      <c r="G268">
        <v>25</v>
      </c>
      <c r="I268" t="str">
        <f t="shared" si="79"/>
        <v>项</v>
      </c>
      <c r="K268" t="str">
        <f>"XJKTCDGZMYXFFYML"</f>
        <v>XJKTCDGZMYXFFYML</v>
      </c>
      <c r="L268" t="str">
        <f>"XARWIPTTQUIYIXUJ"</f>
        <v>XARWIPTTQUIYIXUJ</v>
      </c>
      <c r="M268">
        <v>25</v>
      </c>
      <c r="N268">
        <v>250403042</v>
      </c>
      <c r="O268" t="str">
        <f t="shared" si="80"/>
        <v>项</v>
      </c>
      <c r="P268" t="str">
        <f t="shared" si="75"/>
        <v>检验费</v>
      </c>
    </row>
    <row r="269" spans="1:16">
      <c r="A269" t="str">
        <f>"抗链球菌溶血素O测定(ASO)（免疫法）"</f>
        <v>抗链球菌溶血素O测定(ASO)（免疫法）</v>
      </c>
      <c r="B269" t="str">
        <f>"250403043-a"</f>
        <v>250403043-a</v>
      </c>
      <c r="C269" t="str">
        <f t="shared" si="74"/>
        <v>检验</v>
      </c>
      <c r="D269" t="str">
        <f>"002504030430000"</f>
        <v>002504030430000</v>
      </c>
      <c r="G269">
        <v>30</v>
      </c>
      <c r="I269" t="str">
        <f>"-"</f>
        <v>-</v>
      </c>
      <c r="K269" t="str">
        <f>"KLQJRXSOCDASOMYF"</f>
        <v>KLQJRXSOCDASOMYF</v>
      </c>
      <c r="L269" t="str">
        <f>"RQGAITGOIPASOQUI"</f>
        <v>RQGAITGOIPASOQUI</v>
      </c>
      <c r="M269">
        <v>30</v>
      </c>
      <c r="N269" t="str">
        <f>"250403043-a"</f>
        <v>250403043-a</v>
      </c>
      <c r="O269" t="str">
        <f t="shared" si="80"/>
        <v>项</v>
      </c>
      <c r="P269" t="str">
        <f t="shared" si="75"/>
        <v>检验费</v>
      </c>
    </row>
    <row r="270" spans="1:16">
      <c r="A270" t="str">
        <f>"梅毒螺旋体特异抗体测定（凝集法）"</f>
        <v>梅毒螺旋体特异抗体测定（凝集法）</v>
      </c>
      <c r="B270">
        <v>250403053</v>
      </c>
      <c r="C270" t="str">
        <f t="shared" si="74"/>
        <v>检验</v>
      </c>
      <c r="D270" t="str">
        <f>"002504030530000"</f>
        <v>002504030530000</v>
      </c>
      <c r="G270">
        <v>20</v>
      </c>
      <c r="I270" t="str">
        <f t="shared" ref="I270:I279" si="81">"项"</f>
        <v>项</v>
      </c>
      <c r="K270" t="str">
        <f>"MDLXTTYKTC"</f>
        <v>MDLXTTYKTC</v>
      </c>
      <c r="L270" t="str">
        <f>"SGJYWTNRWI"</f>
        <v>SGJYWTNRWI</v>
      </c>
      <c r="M270">
        <v>20</v>
      </c>
      <c r="N270">
        <v>250403053</v>
      </c>
      <c r="O270" t="str">
        <f t="shared" si="80"/>
        <v>项</v>
      </c>
      <c r="P270" t="str">
        <f t="shared" si="75"/>
        <v>检验费</v>
      </c>
    </row>
    <row r="271" spans="1:16">
      <c r="A271" t="str">
        <f>"人乳头瘤病毒分型检测"</f>
        <v>人乳头瘤病毒分型检测</v>
      </c>
      <c r="B271" t="str">
        <f>"250403066-b"</f>
        <v>250403066-b</v>
      </c>
      <c r="C271" t="str">
        <f t="shared" si="74"/>
        <v>检验</v>
      </c>
      <c r="D271" t="str">
        <f>"002504030660000"</f>
        <v>002504030660000</v>
      </c>
      <c r="G271">
        <v>15</v>
      </c>
      <c r="I271" t="str">
        <f>"次"</f>
        <v>次</v>
      </c>
      <c r="K271" t="str">
        <f>"RRTLBDFXJC"</f>
        <v>RRTLBDFXJC</v>
      </c>
      <c r="L271" t="str">
        <f>"WEUUUGWGSI"</f>
        <v>WEUUUGWGSI</v>
      </c>
      <c r="M271">
        <v>15</v>
      </c>
      <c r="N271" t="str">
        <f>"250403066-b"</f>
        <v>250403066-b</v>
      </c>
      <c r="O271" t="str">
        <f>"每个亚型"</f>
        <v>每个亚型</v>
      </c>
      <c r="P271" t="str">
        <f t="shared" si="75"/>
        <v>检验费</v>
      </c>
    </row>
    <row r="272" spans="1:16">
      <c r="A272" t="str">
        <f>"13碳尿素呼气试验"</f>
        <v>13碳尿素呼气试验</v>
      </c>
      <c r="B272">
        <v>250403079</v>
      </c>
      <c r="C272" t="str">
        <f>"其他"</f>
        <v>其他</v>
      </c>
      <c r="D272" t="str">
        <f>"002504030790000"</f>
        <v>002504030790000</v>
      </c>
      <c r="G272">
        <v>150</v>
      </c>
      <c r="I272" t="str">
        <f>"次"</f>
        <v>次</v>
      </c>
      <c r="K272" t="str">
        <f>"13TNSHQSY"</f>
        <v>13TNSHQSY</v>
      </c>
      <c r="L272" t="str">
        <f>"13DNGKRYC"</f>
        <v>13DNGKRYC</v>
      </c>
      <c r="M272">
        <v>200</v>
      </c>
      <c r="N272">
        <v>250403079</v>
      </c>
      <c r="O272" t="str">
        <f>"次"</f>
        <v>次</v>
      </c>
      <c r="P272" t="str">
        <f t="shared" si="75"/>
        <v>检验费</v>
      </c>
    </row>
    <row r="273" spans="1:16">
      <c r="A273" t="str">
        <f>"呼吸道感染病原体IgM抗体检测"</f>
        <v>呼吸道感染病原体IgM抗体检测</v>
      </c>
      <c r="B273">
        <v>250403083</v>
      </c>
      <c r="C273" t="str">
        <f t="shared" ref="C273:C302" si="82">"检验"</f>
        <v>检验</v>
      </c>
      <c r="D273" t="str">
        <f>"002504030270000"</f>
        <v>002504030270000</v>
      </c>
      <c r="G273">
        <v>45</v>
      </c>
      <c r="I273" t="str">
        <f t="shared" si="81"/>
        <v>项</v>
      </c>
      <c r="K273" t="str">
        <f>"HXDGRBYTIGMKTJC"</f>
        <v>HXDGRBYTIGMKTJC</v>
      </c>
      <c r="L273" t="str">
        <f>"KKUDIUDWigmRWSI"</f>
        <v>KKUDIUDWigmRWSI</v>
      </c>
      <c r="M273">
        <v>45</v>
      </c>
      <c r="N273">
        <v>250403083</v>
      </c>
      <c r="O273" t="str">
        <f t="shared" ref="O273:O279" si="83">"项"</f>
        <v>项</v>
      </c>
      <c r="P273" t="str">
        <f t="shared" si="75"/>
        <v>检验费</v>
      </c>
    </row>
    <row r="274" spans="1:16">
      <c r="A274" t="str">
        <f>"胃泌素-17检测"</f>
        <v>胃泌素-17检测</v>
      </c>
      <c r="B274">
        <v>250403086</v>
      </c>
      <c r="C274" t="str">
        <f t="shared" si="82"/>
        <v>检验</v>
      </c>
      <c r="D274" t="str">
        <f>"002503100440000"</f>
        <v>002503100440000</v>
      </c>
      <c r="G274">
        <v>100</v>
      </c>
      <c r="I274" t="str">
        <f t="shared" si="81"/>
        <v>项</v>
      </c>
      <c r="K274" t="str">
        <f>"WMS17JC"</f>
        <v>WMS17JC</v>
      </c>
      <c r="L274" t="str">
        <f>"LIG17SI"</f>
        <v>LIG17SI</v>
      </c>
      <c r="M274">
        <v>105</v>
      </c>
      <c r="N274">
        <v>250403086</v>
      </c>
      <c r="O274" t="str">
        <f t="shared" si="83"/>
        <v>项</v>
      </c>
      <c r="P274" t="str">
        <f t="shared" si="75"/>
        <v>检验费</v>
      </c>
    </row>
    <row r="275" spans="1:16">
      <c r="A275" t="str">
        <f>"(CEA)癌胚抗原测定"</f>
        <v>(CEA)癌胚抗原测定</v>
      </c>
      <c r="B275" t="str">
        <f>"250404001-a"</f>
        <v>250404001-a</v>
      </c>
      <c r="C275" t="str">
        <f t="shared" si="82"/>
        <v>检验</v>
      </c>
      <c r="D275" t="str">
        <f>"002504040010000"</f>
        <v>002504040010000</v>
      </c>
      <c r="G275">
        <v>35</v>
      </c>
      <c r="I275" t="str">
        <f t="shared" si="81"/>
        <v>项</v>
      </c>
      <c r="K275" t="str">
        <f>"(CEA)APKYCD"</f>
        <v>(CEA)APKYCD</v>
      </c>
      <c r="L275" t="str">
        <f>"CEAUERDIP"</f>
        <v>CEAUERDIP</v>
      </c>
      <c r="M275">
        <v>45</v>
      </c>
      <c r="N275" t="str">
        <f>"250404001-a"</f>
        <v>250404001-a</v>
      </c>
      <c r="O275" t="str">
        <f t="shared" si="83"/>
        <v>项</v>
      </c>
      <c r="P275" t="str">
        <f t="shared" si="75"/>
        <v>检验费</v>
      </c>
    </row>
    <row r="276" spans="1:16">
      <c r="A276" t="str">
        <f>"(AFP)甲胎蛋白测定"</f>
        <v>(AFP)甲胎蛋白测定</v>
      </c>
      <c r="B276" t="str">
        <f>"250404002-a"</f>
        <v>250404002-a</v>
      </c>
      <c r="C276" t="str">
        <f t="shared" si="82"/>
        <v>检验</v>
      </c>
      <c r="D276" t="str">
        <f>"002504040020000"</f>
        <v>002504040020000</v>
      </c>
      <c r="G276">
        <v>35</v>
      </c>
      <c r="I276" t="str">
        <f t="shared" si="81"/>
        <v>项</v>
      </c>
      <c r="K276" t="str">
        <f>"(AFP)JTDBCD"</f>
        <v>(AFP)JTDBCD</v>
      </c>
      <c r="L276" t="str">
        <f>"AFPLENRIP"</f>
        <v>AFPLENRIP</v>
      </c>
      <c r="M276">
        <v>40</v>
      </c>
      <c r="N276" t="str">
        <f>"250404002-a"</f>
        <v>250404002-a</v>
      </c>
      <c r="O276" t="str">
        <f t="shared" si="83"/>
        <v>项</v>
      </c>
      <c r="P276" t="str">
        <f t="shared" si="75"/>
        <v>检验费</v>
      </c>
    </row>
    <row r="277" spans="1:16">
      <c r="A277" t="str">
        <f>"总前列腺特异性抗原测定(TPSA)"</f>
        <v>总前列腺特异性抗原测定(TPSA)</v>
      </c>
      <c r="B277" t="str">
        <f>"250404005-a"</f>
        <v>250404005-a</v>
      </c>
      <c r="C277" t="str">
        <f t="shared" si="82"/>
        <v>检验</v>
      </c>
      <c r="D277" t="str">
        <f>"002504040050000"</f>
        <v>002504040050000</v>
      </c>
      <c r="G277">
        <v>50</v>
      </c>
      <c r="I277" t="str">
        <f t="shared" si="81"/>
        <v>项</v>
      </c>
      <c r="K277" t="str">
        <f>"ZQLXTYXKYCDTPSA"</f>
        <v>ZQLXTYXKYCDTPSA</v>
      </c>
      <c r="L277" t="str">
        <f>"UUGETNNRDIPTPSA"</f>
        <v>UUGETNNRDIPTPSA</v>
      </c>
      <c r="M277">
        <v>65</v>
      </c>
      <c r="N277" t="str">
        <f>"250404005-a"</f>
        <v>250404005-a</v>
      </c>
      <c r="O277" t="str">
        <f t="shared" si="83"/>
        <v>项</v>
      </c>
      <c r="P277" t="str">
        <f t="shared" si="75"/>
        <v>检验费</v>
      </c>
    </row>
    <row r="278" spans="1:16">
      <c r="A278" t="str">
        <f>"游离前列腺特异性抗原测定(FPSA)"</f>
        <v>游离前列腺特异性抗原测定(FPSA)</v>
      </c>
      <c r="B278" t="str">
        <f>"250404006-a"</f>
        <v>250404006-a</v>
      </c>
      <c r="C278" t="str">
        <f t="shared" si="82"/>
        <v>检验</v>
      </c>
      <c r="D278" t="str">
        <f>"002504040060000"</f>
        <v>002504040060000</v>
      </c>
      <c r="G278">
        <v>50</v>
      </c>
      <c r="I278" t="str">
        <f t="shared" si="81"/>
        <v>项</v>
      </c>
      <c r="K278" t="str">
        <f>"YLQLXTYXKY(FPSA)"</f>
        <v>YLQLXTYXKY(FPSA)</v>
      </c>
      <c r="L278" t="str">
        <f>"IYUGETNNRDIPFPSA"</f>
        <v>IYUGETNNRDIPFPSA</v>
      </c>
      <c r="M278">
        <v>65</v>
      </c>
      <c r="N278" t="str">
        <f>"250404006-a"</f>
        <v>250404006-a</v>
      </c>
      <c r="O278" t="str">
        <f t="shared" si="83"/>
        <v>项</v>
      </c>
      <c r="P278" t="str">
        <f t="shared" si="75"/>
        <v>检验费</v>
      </c>
    </row>
    <row r="279" spans="1:16">
      <c r="A279" t="str">
        <f>"神经元特异性烯醇化酶测定(NSE)"</f>
        <v>神经元特异性烯醇化酶测定(NSE)</v>
      </c>
      <c r="B279" t="str">
        <f>"250404009-a"</f>
        <v>250404009-a</v>
      </c>
      <c r="C279" t="str">
        <f t="shared" si="82"/>
        <v>检验</v>
      </c>
      <c r="D279" t="str">
        <f>"002504040090000"</f>
        <v>002504040090000</v>
      </c>
      <c r="G279">
        <v>50</v>
      </c>
      <c r="I279" t="str">
        <f t="shared" si="81"/>
        <v>项</v>
      </c>
      <c r="K279" t="str">
        <f>"SJYTYXXCHMCD(NSE)"</f>
        <v>SJYTYXXCHMCD(NSE)</v>
      </c>
      <c r="L279" t="str">
        <f>"PXFTNNOSWSIP(nse)"</f>
        <v>PXFTNNOSWSIP(nse)</v>
      </c>
      <c r="M279">
        <v>65</v>
      </c>
      <c r="N279" t="str">
        <f>"250404009-a"</f>
        <v>250404009-a</v>
      </c>
      <c r="O279" t="str">
        <f t="shared" si="83"/>
        <v>项</v>
      </c>
      <c r="P279" t="str">
        <f t="shared" si="75"/>
        <v>检验费</v>
      </c>
    </row>
    <row r="280" spans="1:16">
      <c r="A280" t="str">
        <f>"细胞角蛋白19片段测定(CYFRA21-1)（化学发光法、荧光免疫法）"</f>
        <v>细胞角蛋白19片段测定(CYFRA21-1)（化学发光法、荧光免疫法）</v>
      </c>
      <c r="B280" t="str">
        <f>"250404010-a"</f>
        <v>250404010-a</v>
      </c>
      <c r="C280" t="str">
        <f t="shared" si="82"/>
        <v>检验</v>
      </c>
      <c r="D280" t="str">
        <f>"002504040100000"</f>
        <v>002504040100000</v>
      </c>
      <c r="G280">
        <v>50</v>
      </c>
      <c r="I280" t="str">
        <f>"-"</f>
        <v>-</v>
      </c>
      <c r="K280" t="str">
        <f>"XBJDB19PDCDCYFRA"</f>
        <v>XBJDB19PDCDCYFRA</v>
      </c>
      <c r="L280" t="str">
        <f>"XEQNR19TWIPCYFRA"</f>
        <v>XEQNR19TWIPCYFRA</v>
      </c>
      <c r="M280">
        <v>65</v>
      </c>
      <c r="N280" t="str">
        <f>"250404010-a"</f>
        <v>250404010-a</v>
      </c>
      <c r="O280" t="str">
        <f>"次"</f>
        <v>次</v>
      </c>
      <c r="P280" t="str">
        <f t="shared" si="75"/>
        <v>检验费</v>
      </c>
    </row>
    <row r="281" spans="1:16">
      <c r="A281" t="str">
        <f>"糖类抗原测定CA125(化学发光法、荧光免疫法)"</f>
        <v>糖类抗原测定CA125(化学发光法、荧光免疫法)</v>
      </c>
      <c r="B281" t="str">
        <f>"250404011-a"</f>
        <v>250404011-a</v>
      </c>
      <c r="C281" t="str">
        <f t="shared" si="82"/>
        <v>检验</v>
      </c>
      <c r="D281" t="str">
        <f t="shared" ref="D281:D286" si="84">"002504040110000"</f>
        <v>002504040110000</v>
      </c>
      <c r="G281">
        <v>50</v>
      </c>
      <c r="I281" t="str">
        <f t="shared" ref="I281:I284" si="85">"项"</f>
        <v>项</v>
      </c>
      <c r="K281" t="str">
        <f>"TLKYCDCA125HXFGF"</f>
        <v>TLKYCDCA125HXFGF</v>
      </c>
      <c r="L281" t="str">
        <f>"OORDIPCA125WINII"</f>
        <v>OORDIPCA125WINII</v>
      </c>
      <c r="M281">
        <v>65</v>
      </c>
      <c r="N281" t="str">
        <f t="shared" ref="N281:N286" si="86">"250404011-a"</f>
        <v>250404011-a</v>
      </c>
      <c r="O281" t="str">
        <f t="shared" ref="O281:O284" si="87">"项"</f>
        <v>项</v>
      </c>
      <c r="P281" t="str">
        <f t="shared" si="75"/>
        <v>检验费</v>
      </c>
    </row>
    <row r="282" spans="1:16">
      <c r="A282" t="str">
        <f>"糖类抗原测定CA19-9(化学发光法、荧光免疫法)"</f>
        <v>糖类抗原测定CA19-9(化学发光法、荧光免疫法)</v>
      </c>
      <c r="B282" t="str">
        <f>"250404011-a-1"</f>
        <v>250404011-a-1</v>
      </c>
      <c r="C282" t="str">
        <f t="shared" si="82"/>
        <v>检验</v>
      </c>
      <c r="D282" t="str">
        <f t="shared" si="84"/>
        <v>002504040110000</v>
      </c>
      <c r="G282">
        <v>50</v>
      </c>
      <c r="I282" t="str">
        <f t="shared" si="85"/>
        <v>项</v>
      </c>
      <c r="K282" t="str">
        <f>"TLKYCDCA199HXFGF"</f>
        <v>TLKYCDCA199HXFGF</v>
      </c>
      <c r="L282" t="str">
        <f>"OORDIPCA199WINII"</f>
        <v>OORDIPCA199WINII</v>
      </c>
      <c r="M282">
        <v>65</v>
      </c>
      <c r="N282" t="str">
        <f t="shared" si="86"/>
        <v>250404011-a</v>
      </c>
      <c r="O282" t="str">
        <f t="shared" si="87"/>
        <v>项</v>
      </c>
      <c r="P282" t="str">
        <f t="shared" si="75"/>
        <v>检验费</v>
      </c>
    </row>
    <row r="283" spans="1:16">
      <c r="A283" t="str">
        <f>"糖类抗原测定CA15-3(化学发光法、荧光免疫法)"</f>
        <v>糖类抗原测定CA15-3(化学发光法、荧光免疫法)</v>
      </c>
      <c r="B283" t="str">
        <f>"250404011-a-2"</f>
        <v>250404011-a-2</v>
      </c>
      <c r="C283" t="str">
        <f t="shared" si="82"/>
        <v>检验</v>
      </c>
      <c r="D283" t="str">
        <f t="shared" si="84"/>
        <v>002504040110000</v>
      </c>
      <c r="G283">
        <v>50</v>
      </c>
      <c r="I283" t="str">
        <f t="shared" si="85"/>
        <v>项</v>
      </c>
      <c r="K283" t="str">
        <f>"TLKYCDCA153HXFGF"</f>
        <v>TLKYCDCA153HXFGF</v>
      </c>
      <c r="L283" t="str">
        <f>"OORDIPCA153WINII"</f>
        <v>OORDIPCA153WINII</v>
      </c>
      <c r="M283">
        <v>65</v>
      </c>
      <c r="N283" t="str">
        <f t="shared" si="86"/>
        <v>250404011-a</v>
      </c>
      <c r="O283" t="str">
        <f t="shared" si="87"/>
        <v>项</v>
      </c>
      <c r="P283" t="str">
        <f t="shared" si="75"/>
        <v>检验费</v>
      </c>
    </row>
    <row r="284" spans="1:16">
      <c r="A284" t="str">
        <f>"糖类抗原测定CA72-4(化学发光法、荧光免疫法)"</f>
        <v>糖类抗原测定CA72-4(化学发光法、荧光免疫法)</v>
      </c>
      <c r="B284" t="str">
        <f>"250404011-a-3"</f>
        <v>250404011-a-3</v>
      </c>
      <c r="C284" t="str">
        <f t="shared" si="82"/>
        <v>检验</v>
      </c>
      <c r="D284" t="str">
        <f t="shared" si="84"/>
        <v>002504040110000</v>
      </c>
      <c r="G284">
        <v>50</v>
      </c>
      <c r="I284" t="str">
        <f t="shared" si="85"/>
        <v>项</v>
      </c>
      <c r="K284" t="str">
        <f>"TLKYCDCA724HXFGF"</f>
        <v>TLKYCDCA724HXFGF</v>
      </c>
      <c r="L284" t="str">
        <f>"OORDIPCA724WINII"</f>
        <v>OORDIPCA724WINII</v>
      </c>
      <c r="M284">
        <v>65</v>
      </c>
      <c r="N284" t="str">
        <f t="shared" si="86"/>
        <v>250404011-a</v>
      </c>
      <c r="O284" t="str">
        <f t="shared" si="87"/>
        <v>项</v>
      </c>
      <c r="P284" t="str">
        <f t="shared" si="75"/>
        <v>检验费</v>
      </c>
    </row>
    <row r="285" spans="1:16">
      <c r="A285" t="str">
        <f>"糖类抗原测定CA24-2(化学发光法、荧光免疫法)"</f>
        <v>糖类抗原测定CA24-2(化学发光法、荧光免疫法)</v>
      </c>
      <c r="B285" t="str">
        <f>"250404011-a-4"</f>
        <v>250404011-a-4</v>
      </c>
      <c r="C285" t="str">
        <f t="shared" si="82"/>
        <v>检验</v>
      </c>
      <c r="D285" t="str">
        <f t="shared" si="84"/>
        <v>002504040110000</v>
      </c>
      <c r="G285">
        <v>50</v>
      </c>
      <c r="I285" t="str">
        <f>"/"</f>
        <v>/</v>
      </c>
      <c r="K285" t="str">
        <f>"TLKYCDCA242HXFGF"</f>
        <v>TLKYCDCA242HXFGF</v>
      </c>
      <c r="L285" t="str">
        <f>"OORDIPCA242WINII"</f>
        <v>OORDIPCA242WINII</v>
      </c>
      <c r="M285">
        <v>65</v>
      </c>
      <c r="N285" t="str">
        <f t="shared" si="86"/>
        <v>250404011-a</v>
      </c>
      <c r="O285" t="str">
        <f>"次"</f>
        <v>次</v>
      </c>
      <c r="P285" t="str">
        <f t="shared" si="75"/>
        <v>检验费</v>
      </c>
    </row>
    <row r="286" spans="1:16">
      <c r="A286" t="str">
        <f>"糖类抗原测定CA-50(化学发光法、荧光免疫法)"</f>
        <v>糖类抗原测定CA-50(化学发光法、荧光免疫法)</v>
      </c>
      <c r="B286" t="str">
        <f>"250404011-a-6"</f>
        <v>250404011-a-6</v>
      </c>
      <c r="C286" t="str">
        <f t="shared" si="82"/>
        <v>检验</v>
      </c>
      <c r="D286" t="str">
        <f t="shared" si="84"/>
        <v>002504040110000</v>
      </c>
      <c r="G286">
        <v>50</v>
      </c>
      <c r="I286" t="str">
        <f>"/"</f>
        <v>/</v>
      </c>
      <c r="K286" t="str">
        <f>"TLKYCDCA50HXFGFY"</f>
        <v>TLKYCDCA50HXFGFY</v>
      </c>
      <c r="L286" t="str">
        <f>"OORDIPCA50WINIIA"</f>
        <v>OORDIPCA50WINIIA</v>
      </c>
      <c r="M286">
        <v>65</v>
      </c>
      <c r="N286" t="str">
        <f t="shared" si="86"/>
        <v>250404011-a</v>
      </c>
      <c r="O286" t="str">
        <f>"次"</f>
        <v>次</v>
      </c>
      <c r="P286" t="str">
        <f t="shared" si="75"/>
        <v>检验费</v>
      </c>
    </row>
    <row r="287" spans="1:16">
      <c r="A287" t="str">
        <f>"鳞状细胞癌相关抗原测定"</f>
        <v>鳞状细胞癌相关抗原测定</v>
      </c>
      <c r="B287" t="str">
        <f>"250404012-a"</f>
        <v>250404012-a</v>
      </c>
      <c r="C287" t="str">
        <f t="shared" si="82"/>
        <v>检验</v>
      </c>
      <c r="D287" t="str">
        <f>"002504040120000"</f>
        <v>002504040120000</v>
      </c>
      <c r="G287">
        <v>50</v>
      </c>
      <c r="I287">
        <v>1</v>
      </c>
      <c r="K287" t="str">
        <f>"LZXBAXGKYCD"</f>
        <v>LZXBAXGKYCD</v>
      </c>
      <c r="L287" t="str">
        <f>"QUXEUSURDIP"</f>
        <v>QUXEUSURDIP</v>
      </c>
      <c r="M287">
        <v>65</v>
      </c>
      <c r="N287" t="str">
        <f>"250404012-a"</f>
        <v>250404012-a</v>
      </c>
      <c r="O287" t="str">
        <f t="shared" ref="O287:O290" si="88">"项"</f>
        <v>项</v>
      </c>
      <c r="P287" t="str">
        <f t="shared" si="75"/>
        <v>检验费</v>
      </c>
    </row>
    <row r="288" spans="1:16">
      <c r="A288" t="str">
        <f>"肿瘤坏死因子测定(TNF)"</f>
        <v>肿瘤坏死因子测定(TNF)</v>
      </c>
      <c r="B288" t="str">
        <f>"250404013-a"</f>
        <v>250404013-a</v>
      </c>
      <c r="C288" t="str">
        <f t="shared" si="82"/>
        <v>检验</v>
      </c>
      <c r="D288" t="str">
        <f>"002504040130000"</f>
        <v>002504040130000</v>
      </c>
      <c r="G288">
        <v>65</v>
      </c>
      <c r="I288" t="str">
        <f>"-"</f>
        <v>-</v>
      </c>
      <c r="K288" t="str">
        <f>"ZLHSYZCDTN"</f>
        <v>ZLHSYZCDTN</v>
      </c>
      <c r="L288" t="str">
        <f>"EUFGLBIPTN"</f>
        <v>EUFGLBIPTN</v>
      </c>
      <c r="M288">
        <v>65</v>
      </c>
      <c r="N288" t="str">
        <f>"250404013-a"</f>
        <v>250404013-a</v>
      </c>
      <c r="O288" t="str">
        <f t="shared" si="88"/>
        <v>项</v>
      </c>
      <c r="P288" t="str">
        <f t="shared" si="75"/>
        <v>检验费</v>
      </c>
    </row>
    <row r="289" spans="1:16">
      <c r="A289" t="str">
        <f>"铁蛋白测定各种发光法，定量测定"</f>
        <v>铁蛋白测定各种发光法，定量测定</v>
      </c>
      <c r="B289" t="str">
        <f>"250404015-a"</f>
        <v>250404015-a</v>
      </c>
      <c r="C289" t="str">
        <f t="shared" si="82"/>
        <v>检验</v>
      </c>
      <c r="D289" t="str">
        <f>"002504040150000"</f>
        <v>002504040150000</v>
      </c>
      <c r="G289">
        <v>34</v>
      </c>
      <c r="I289" t="str">
        <f>"项"</f>
        <v>项</v>
      </c>
      <c r="K289" t="str">
        <f>"TDBCDGZFGFZDLCD"</f>
        <v>TDBCDGZFGFZDLCD</v>
      </c>
      <c r="L289" t="str">
        <f>"QNRIPTTNIIPJIP"</f>
        <v>QNRIPTTNIIPJIP</v>
      </c>
      <c r="M289">
        <v>55</v>
      </c>
      <c r="N289" t="str">
        <f>"250404015-a"</f>
        <v>250404015-a</v>
      </c>
      <c r="O289" t="str">
        <f t="shared" si="88"/>
        <v>项</v>
      </c>
      <c r="P289" t="str">
        <f t="shared" si="75"/>
        <v>检验费</v>
      </c>
    </row>
    <row r="290" spans="1:16">
      <c r="A290" t="str">
        <f>"恶性肿瘤特异生长因子（TSGF）测定"</f>
        <v>恶性肿瘤特异生长因子（TSGF）测定</v>
      </c>
      <c r="B290">
        <v>250404017</v>
      </c>
      <c r="C290" t="str">
        <f t="shared" si="82"/>
        <v>检验</v>
      </c>
      <c r="D290" t="str">
        <f>"002504040170000"</f>
        <v>002504040170000</v>
      </c>
      <c r="G290">
        <v>50</v>
      </c>
      <c r="I290" t="str">
        <f>"项"</f>
        <v>项</v>
      </c>
      <c r="K290" t="str">
        <f>"EXZLTYSCYZZTSGFZCD"</f>
        <v>EXZLTYSCYZZTSGFZCD</v>
      </c>
      <c r="L290" t="str">
        <f>"GNEUTNTTLBtsgfIP"</f>
        <v>GNEUTNTTLBtsgfIP</v>
      </c>
      <c r="M290">
        <v>65</v>
      </c>
      <c r="N290">
        <v>250404017</v>
      </c>
      <c r="O290" t="str">
        <f t="shared" si="88"/>
        <v>项</v>
      </c>
      <c r="P290" t="str">
        <f t="shared" si="75"/>
        <v>检验费</v>
      </c>
    </row>
    <row r="291" spans="1:16">
      <c r="A291" t="str">
        <f>"血清胃蛋白酶原Ⅱ测定（荧光免疫法）"</f>
        <v>血清胃蛋白酶原Ⅱ测定（荧光免疫法）</v>
      </c>
      <c r="B291" t="str">
        <f>"250404028-a"</f>
        <v>250404028-a</v>
      </c>
      <c r="C291" t="str">
        <f t="shared" si="82"/>
        <v>检验</v>
      </c>
      <c r="D291" t="str">
        <f>"322504040410000"</f>
        <v>322504040410000</v>
      </c>
      <c r="G291">
        <v>55</v>
      </c>
      <c r="I291" t="str">
        <f>"次"</f>
        <v>次</v>
      </c>
      <c r="K291" t="str">
        <f>"XQWDBMYCDYGMYF"</f>
        <v>XQWDBMYCDYGMYF</v>
      </c>
      <c r="L291" t="str">
        <f>"TILNRSDIPAIQUI"</f>
        <v>TILNRSDIPAIQUI</v>
      </c>
      <c r="M291">
        <v>55</v>
      </c>
      <c r="N291" t="str">
        <f>"250404028-a"</f>
        <v>250404028-a</v>
      </c>
      <c r="O291" t="str">
        <f t="shared" ref="O291:O293" si="89">"次"</f>
        <v>次</v>
      </c>
      <c r="P291" t="str">
        <f t="shared" si="75"/>
        <v>检验费</v>
      </c>
    </row>
    <row r="292" spans="1:16">
      <c r="A292" t="str">
        <f>"血清胃蛋白酶原Ⅰ测定（荧光免疫法）"</f>
        <v>血清胃蛋白酶原Ⅰ测定（荧光免疫法）</v>
      </c>
      <c r="B292" t="str">
        <f>"250404028-a-1"</f>
        <v>250404028-a-1</v>
      </c>
      <c r="C292" t="str">
        <f t="shared" si="82"/>
        <v>检验</v>
      </c>
      <c r="D292" t="str">
        <f>"322504040410000"</f>
        <v>322504040410000</v>
      </c>
      <c r="G292">
        <v>55</v>
      </c>
      <c r="I292" t="str">
        <f>"次"</f>
        <v>次</v>
      </c>
      <c r="K292" t="str">
        <f>"XQWDBMYCDYGMYF"</f>
        <v>XQWDBMYCDYGMYF</v>
      </c>
      <c r="L292" t="str">
        <f>"TILNRSDIPAIQUI"</f>
        <v>TILNRSDIPAIQUI</v>
      </c>
      <c r="M292">
        <v>55</v>
      </c>
      <c r="N292" t="str">
        <f>"250404028-a"</f>
        <v>250404028-a</v>
      </c>
      <c r="O292" t="str">
        <f t="shared" si="89"/>
        <v>次</v>
      </c>
      <c r="P292" t="str">
        <f t="shared" si="75"/>
        <v>检验费</v>
      </c>
    </row>
    <row r="293" spans="1:16">
      <c r="A293" t="str">
        <f>"人附睾蛋白4测定"</f>
        <v>人附睾蛋白4测定</v>
      </c>
      <c r="B293">
        <v>250404030</v>
      </c>
      <c r="C293" t="str">
        <f t="shared" si="82"/>
        <v>检验</v>
      </c>
      <c r="G293">
        <v>125</v>
      </c>
      <c r="I293">
        <v>1</v>
      </c>
      <c r="K293" t="str">
        <f>"RFGDB4CD"</f>
        <v>RFGDB4CD</v>
      </c>
      <c r="L293" t="str">
        <f>"WBTNR4IP"</f>
        <v>WBTNR4IP</v>
      </c>
      <c r="M293">
        <v>125</v>
      </c>
      <c r="N293">
        <v>250404030</v>
      </c>
      <c r="O293" t="str">
        <f t="shared" si="89"/>
        <v>次</v>
      </c>
      <c r="P293" t="str">
        <f t="shared" si="75"/>
        <v>检验费</v>
      </c>
    </row>
    <row r="294" spans="1:16">
      <c r="A294" t="str">
        <f>"总IgE测定(各种发光法，定量测定)"</f>
        <v>总IgE测定(各种发光法，定量测定)</v>
      </c>
      <c r="B294" t="str">
        <f>"250405001-a"</f>
        <v>250405001-a</v>
      </c>
      <c r="C294" t="str">
        <f t="shared" si="82"/>
        <v>检验</v>
      </c>
      <c r="D294" t="str">
        <f>"002504050010000"</f>
        <v>002504050010000</v>
      </c>
      <c r="G294">
        <v>60</v>
      </c>
      <c r="I294" t="str">
        <f>"-"</f>
        <v>-</v>
      </c>
      <c r="K294" t="str">
        <f>"ZIGECDGZFGFDLCD"</f>
        <v>ZIGECDGZFGFDLCD</v>
      </c>
      <c r="L294" t="str">
        <f>"UIGEIPTTNIIPJIP"</f>
        <v>UIGEIPTTNIIPJIP</v>
      </c>
      <c r="M294">
        <v>60</v>
      </c>
      <c r="N294" t="str">
        <f>"250405001-a"</f>
        <v>250405001-a</v>
      </c>
      <c r="O294" t="str">
        <f t="shared" ref="O294:O298" si="90">"项"</f>
        <v>项</v>
      </c>
      <c r="P294" t="str">
        <f t="shared" si="75"/>
        <v>检验费</v>
      </c>
    </row>
    <row r="295" spans="1:16">
      <c r="A295" t="str">
        <f>"吸入物变应原筛查"</f>
        <v>吸入物变应原筛查</v>
      </c>
      <c r="B295">
        <v>250405002</v>
      </c>
      <c r="C295" t="str">
        <f t="shared" si="82"/>
        <v>检验</v>
      </c>
      <c r="D295" t="str">
        <f>"002504050020000"</f>
        <v>002504050020000</v>
      </c>
      <c r="G295">
        <v>30</v>
      </c>
      <c r="I295" t="str">
        <f t="shared" ref="I295:I298" si="91">"项"</f>
        <v>项</v>
      </c>
      <c r="K295" t="str">
        <f>"XRWBYYSC"</f>
        <v>XRWBYYSC</v>
      </c>
      <c r="L295" t="str">
        <f>"KTTYYDTS"</f>
        <v>KTTYYDTS</v>
      </c>
      <c r="M295">
        <v>30</v>
      </c>
      <c r="N295">
        <v>250405002</v>
      </c>
      <c r="O295" t="str">
        <f t="shared" si="90"/>
        <v>项</v>
      </c>
      <c r="P295" t="str">
        <f t="shared" si="75"/>
        <v>检验费</v>
      </c>
    </row>
    <row r="296" spans="1:16">
      <c r="A296" t="str">
        <f>"食入物变应原筛查"</f>
        <v>食入物变应原筛查</v>
      </c>
      <c r="B296">
        <v>250405003</v>
      </c>
      <c r="C296" t="str">
        <f t="shared" si="82"/>
        <v>检验</v>
      </c>
      <c r="D296" t="str">
        <f>"002504050030000"</f>
        <v>002504050030000</v>
      </c>
      <c r="G296">
        <v>30</v>
      </c>
      <c r="I296" t="str">
        <f t="shared" si="91"/>
        <v>项</v>
      </c>
      <c r="K296" t="str">
        <f>"SRWBYYSC"</f>
        <v>SRWBYYSC</v>
      </c>
      <c r="L296" t="str">
        <f>"WTTYYDTS"</f>
        <v>WTTYYDTS</v>
      </c>
      <c r="M296">
        <v>30</v>
      </c>
      <c r="N296">
        <v>250405003</v>
      </c>
      <c r="O296" t="str">
        <f t="shared" si="90"/>
        <v>项</v>
      </c>
      <c r="P296" t="str">
        <f t="shared" si="75"/>
        <v>检验费</v>
      </c>
    </row>
    <row r="297" spans="1:16">
      <c r="A297" t="str">
        <f>"沙门菌、志贺菌培养及鉴定"</f>
        <v>沙门菌、志贺菌培养及鉴定</v>
      </c>
      <c r="B297">
        <v>250501025</v>
      </c>
      <c r="C297" t="str">
        <f t="shared" si="82"/>
        <v>检验</v>
      </c>
      <c r="G297">
        <v>20</v>
      </c>
      <c r="I297" t="str">
        <f t="shared" si="91"/>
        <v>项</v>
      </c>
      <c r="K297" t="str">
        <f>"SMJZZHJPYJJD"</f>
        <v>SMJZZHJPYJJD</v>
      </c>
      <c r="L297" t="str">
        <f>"IUAFLAFUEJP"</f>
        <v>IUAFLAFUEJP</v>
      </c>
      <c r="M297">
        <v>20</v>
      </c>
      <c r="N297">
        <v>250501025</v>
      </c>
      <c r="O297" t="str">
        <f t="shared" si="90"/>
        <v>项</v>
      </c>
      <c r="P297" t="str">
        <f t="shared" si="75"/>
        <v>检验费</v>
      </c>
    </row>
    <row r="298" spans="1:16">
      <c r="A298" t="str">
        <f>"血液疟原虫检查"</f>
        <v>血液疟原虫检查</v>
      </c>
      <c r="B298">
        <v>250601005</v>
      </c>
      <c r="C298" t="str">
        <f t="shared" si="82"/>
        <v>检验</v>
      </c>
      <c r="G298" t="str">
        <f>"0"</f>
        <v>0</v>
      </c>
      <c r="I298" t="str">
        <f t="shared" si="91"/>
        <v>项</v>
      </c>
      <c r="K298" t="str">
        <f>"XYNYCJC"</f>
        <v>XYNYCJC</v>
      </c>
      <c r="L298" t="str">
        <f>"TIUDJSS"</f>
        <v>TIUDJSS</v>
      </c>
      <c r="M298" t="str">
        <f>"0"</f>
        <v>0</v>
      </c>
      <c r="N298">
        <v>250601005</v>
      </c>
      <c r="O298" t="str">
        <f t="shared" si="90"/>
        <v>项</v>
      </c>
      <c r="P298" t="str">
        <f t="shared" si="75"/>
        <v>检验费</v>
      </c>
    </row>
    <row r="299" spans="1:16">
      <c r="A299" t="str">
        <f>"唐氏综合症筛查及唐氏综合症风险率计算"</f>
        <v>唐氏综合症筛查及唐氏综合症风险率计算</v>
      </c>
      <c r="B299" t="str">
        <f>"250700010-a"</f>
        <v>250700010-a</v>
      </c>
      <c r="C299" t="str">
        <f t="shared" si="82"/>
        <v>检验</v>
      </c>
      <c r="D299" t="str">
        <f>"002507000100000"</f>
        <v>002507000100000</v>
      </c>
      <c r="G299">
        <v>110</v>
      </c>
      <c r="I299" t="str">
        <f t="shared" ref="I299:I302" si="92">"次"</f>
        <v>次</v>
      </c>
      <c r="K299" t="str">
        <f>"TSZHZSCJTSZHZFXLJS"</f>
        <v>TSZHZSCJTSZHZFXLJS</v>
      </c>
      <c r="L299" t="str">
        <f>"YQXWUTSEYQXWUMBYYT"</f>
        <v>YQXWUTSEYQXWUMBYYT</v>
      </c>
      <c r="M299">
        <v>110</v>
      </c>
      <c r="N299" t="str">
        <f>"250700010-a"</f>
        <v>250700010-a</v>
      </c>
      <c r="O299" t="str">
        <f t="shared" ref="O299:O302" si="93">"次"</f>
        <v>次</v>
      </c>
      <c r="P299" t="str">
        <f t="shared" si="75"/>
        <v>检验费</v>
      </c>
    </row>
    <row r="300" spans="1:16">
      <c r="A300" t="str">
        <f>"ABO红细胞定型"</f>
        <v>ABO红细胞定型</v>
      </c>
      <c r="B300" t="str">
        <f>"260000001-a"</f>
        <v>260000001-a</v>
      </c>
      <c r="C300" t="str">
        <f t="shared" si="82"/>
        <v>检验</v>
      </c>
      <c r="D300" t="str">
        <f>"002600000010000"</f>
        <v>002600000010000</v>
      </c>
      <c r="G300">
        <v>5</v>
      </c>
      <c r="I300" t="str">
        <f t="shared" si="92"/>
        <v>次</v>
      </c>
      <c r="K300" t="str">
        <f>"ABOHXBDX"</f>
        <v>ABOHXBDX</v>
      </c>
      <c r="L300" t="str">
        <f>"ABOXXEPG"</f>
        <v>ABOXXEPG</v>
      </c>
      <c r="M300">
        <v>5</v>
      </c>
      <c r="N300" t="str">
        <f>"260000001-a"</f>
        <v>260000001-a</v>
      </c>
      <c r="O300" t="str">
        <f t="shared" si="93"/>
        <v>次</v>
      </c>
      <c r="P300" t="str">
        <f t="shared" si="75"/>
        <v>检验费</v>
      </c>
    </row>
    <row r="301" spans="1:16">
      <c r="A301" t="str">
        <f>"ABO红细胞定型（血清学法）健康促进包"</f>
        <v>ABO红细胞定型（血清学法）健康促进包</v>
      </c>
      <c r="B301" t="str">
        <f>"260000001-a-1"</f>
        <v>260000001-a-1</v>
      </c>
      <c r="C301" t="str">
        <f t="shared" si="82"/>
        <v>检验</v>
      </c>
      <c r="D301" t="str">
        <f>"002600000010000"</f>
        <v>002600000010000</v>
      </c>
      <c r="G301">
        <v>2</v>
      </c>
      <c r="I301" t="str">
        <f t="shared" si="92"/>
        <v>次</v>
      </c>
      <c r="K301" t="str">
        <f>"ABOHXBDXXQXFJKCJ"</f>
        <v>ABOHXBDXXQXFJKCJ</v>
      </c>
      <c r="L301" t="str">
        <f>"ABOXXEPGTIIIWYWF"</f>
        <v>ABOXXEPGTIIIWYWF</v>
      </c>
      <c r="M301">
        <v>2</v>
      </c>
      <c r="O301" t="str">
        <f t="shared" si="93"/>
        <v>次</v>
      </c>
      <c r="P301" t="str">
        <f t="shared" si="75"/>
        <v>检验费</v>
      </c>
    </row>
    <row r="302" spans="1:16">
      <c r="A302" t="str">
        <f>"Rh血型鉴定"</f>
        <v>Rh血型鉴定</v>
      </c>
      <c r="B302">
        <v>260000004</v>
      </c>
      <c r="C302" t="str">
        <f t="shared" si="82"/>
        <v>检验</v>
      </c>
      <c r="D302" t="str">
        <f>"002600000040000"</f>
        <v>002600000040000</v>
      </c>
      <c r="G302">
        <v>10</v>
      </c>
      <c r="I302" t="str">
        <f t="shared" si="92"/>
        <v>次</v>
      </c>
      <c r="K302" t="str">
        <f>"RHXXJD"</f>
        <v>RHXXJD</v>
      </c>
      <c r="L302" t="str">
        <f>"rhTGJP"</f>
        <v>rhTGJP</v>
      </c>
      <c r="M302">
        <v>10</v>
      </c>
      <c r="N302">
        <v>260000004</v>
      </c>
      <c r="O302" t="str">
        <f t="shared" si="93"/>
        <v>次</v>
      </c>
      <c r="P302" t="str">
        <f t="shared" si="75"/>
        <v>检验费</v>
      </c>
    </row>
    <row r="303" spans="1:16">
      <c r="A303" t="str">
        <f>"脱落细胞学检查与诊断(宫颈)"</f>
        <v>脱落细胞学检查与诊断(宫颈)</v>
      </c>
      <c r="B303" t="str">
        <f>"270200004-1"</f>
        <v>270200004-1</v>
      </c>
      <c r="C303" t="str">
        <f t="shared" ref="C303:C308" si="94">"其他"</f>
        <v>其他</v>
      </c>
      <c r="D303" t="str">
        <f>"002702000040000"</f>
        <v>002702000040000</v>
      </c>
      <c r="G303">
        <v>105</v>
      </c>
      <c r="I303" t="str">
        <f>"例"</f>
        <v>例</v>
      </c>
      <c r="M303">
        <v>105</v>
      </c>
      <c r="N303">
        <v>270200004</v>
      </c>
      <c r="O303" t="str">
        <f>"例"</f>
        <v>例</v>
      </c>
      <c r="P303" t="str">
        <f t="shared" ref="P303:P309" si="95">"病理检查"</f>
        <v>病理检查</v>
      </c>
    </row>
    <row r="304" spans="1:16">
      <c r="A304" t="str">
        <f>"全自动染色封片加收"</f>
        <v>全自动染色封片加收</v>
      </c>
      <c r="B304" t="str">
        <f>"2703-b"</f>
        <v>2703-b</v>
      </c>
      <c r="C304" t="str">
        <f>"检查"</f>
        <v>检查</v>
      </c>
      <c r="G304">
        <v>15</v>
      </c>
      <c r="I304" t="str">
        <f>"每个蜡块"</f>
        <v>每个蜡块</v>
      </c>
      <c r="K304" t="str">
        <f>"QZDRSFPJS"</f>
        <v>QZDRSFPJS</v>
      </c>
      <c r="L304" t="str">
        <f>"WTFIQFTLN"</f>
        <v>WTFIQFTLN</v>
      </c>
      <c r="M304">
        <v>15</v>
      </c>
      <c r="O304" t="str">
        <f>"每个"</f>
        <v>每个</v>
      </c>
      <c r="P304" t="str">
        <f>"检查费"</f>
        <v>检查费</v>
      </c>
    </row>
    <row r="305" spans="1:16">
      <c r="A305" t="str">
        <f>"局部切除组织活检检查与诊断"</f>
        <v>局部切除组织活检检查与诊断</v>
      </c>
      <c r="B305">
        <v>270300003</v>
      </c>
      <c r="C305" t="str">
        <f t="shared" si="94"/>
        <v>其他</v>
      </c>
      <c r="D305" t="str">
        <f>"002703000030000"</f>
        <v>002703000030000</v>
      </c>
      <c r="G305">
        <v>159</v>
      </c>
      <c r="I305" t="str">
        <f>"每个部位"</f>
        <v>每个部位</v>
      </c>
      <c r="K305" t="str">
        <f>"JBQCZZHJJCYZD"</f>
        <v>JBQCZZHJJCYZD</v>
      </c>
      <c r="L305" t="str">
        <f>"NUABXXISSSGYO"</f>
        <v>NUABXXISSSGYO</v>
      </c>
      <c r="M305">
        <v>159</v>
      </c>
      <c r="N305">
        <v>270300003</v>
      </c>
      <c r="O305" t="str">
        <f>"每个部位"</f>
        <v>每个部位</v>
      </c>
      <c r="P305" t="str">
        <f t="shared" si="95"/>
        <v>病理检查</v>
      </c>
    </row>
    <row r="306" spans="1:16">
      <c r="A306" t="str">
        <f>"局部切除组织活检检查与诊断(切除组织)"</f>
        <v>局部切除组织活检检查与诊断(切除组织)</v>
      </c>
      <c r="B306" t="str">
        <f>"270300003-1"</f>
        <v>270300003-1</v>
      </c>
      <c r="C306" t="str">
        <f>"检查"</f>
        <v>检查</v>
      </c>
      <c r="D306" t="str">
        <f>"002703000030000"</f>
        <v>002703000030000</v>
      </c>
      <c r="G306">
        <v>159</v>
      </c>
      <c r="I306" t="str">
        <f>"每个部位"</f>
        <v>每个部位</v>
      </c>
      <c r="K306" t="str">
        <f>"JBQCZZHJJCYZDQCZ"</f>
        <v>JBQCZZHJJCYZDQCZ</v>
      </c>
      <c r="L306" t="str">
        <f>"NUABXXISSSGYOABX"</f>
        <v>NUABXXISSSGYOABX</v>
      </c>
      <c r="M306">
        <v>159</v>
      </c>
      <c r="N306">
        <v>270300003</v>
      </c>
      <c r="O306" t="str">
        <f>"每个部位"</f>
        <v>每个部位</v>
      </c>
      <c r="P306" t="str">
        <f>"检查费"</f>
        <v>检查费</v>
      </c>
    </row>
    <row r="307" spans="1:16">
      <c r="A307" t="str">
        <f>"局部切除组织活检检查与诊断增加蜡块加收"</f>
        <v>局部切除组织活检检查与诊断增加蜡块加收</v>
      </c>
      <c r="B307" t="str">
        <f>"270300003-a"</f>
        <v>270300003-a</v>
      </c>
      <c r="C307" t="str">
        <f t="shared" si="94"/>
        <v>其他</v>
      </c>
      <c r="D307" t="str">
        <f>"002703000030001"</f>
        <v>002703000030001</v>
      </c>
      <c r="G307">
        <v>10</v>
      </c>
      <c r="I307" t="str">
        <f>"个"</f>
        <v>个</v>
      </c>
      <c r="K307" t="str">
        <f>"JBQCZZHJJCYZDZJL"</f>
        <v>JBQCZZHJJCYZDZJL</v>
      </c>
      <c r="L307" t="str">
        <f>"NUABXXISSSGYOFLJ"</f>
        <v>NUABXXISSSGYOFLJ</v>
      </c>
      <c r="M307">
        <v>10</v>
      </c>
      <c r="N307" t="str">
        <f>"270300003-a"</f>
        <v>270300003-a</v>
      </c>
      <c r="O307" t="str">
        <f>"个"</f>
        <v>个</v>
      </c>
      <c r="P307" t="str">
        <f t="shared" si="95"/>
        <v>病理检查</v>
      </c>
    </row>
    <row r="308" spans="1:16">
      <c r="A308" t="str">
        <f>"病理图文报告"</f>
        <v>病理图文报告</v>
      </c>
      <c r="B308">
        <v>270800004</v>
      </c>
      <c r="C308" t="str">
        <f t="shared" si="94"/>
        <v>其他</v>
      </c>
      <c r="D308" t="str">
        <f>"322708000110000"</f>
        <v>322708000110000</v>
      </c>
      <c r="G308">
        <v>30</v>
      </c>
      <c r="I308" t="str">
        <f t="shared" ref="I308:I312" si="96">"次"</f>
        <v>次</v>
      </c>
      <c r="K308" t="str">
        <f>"BLTWBG"</f>
        <v>BLTWBG</v>
      </c>
      <c r="L308" t="str">
        <f>"UGLYRT"</f>
        <v>UGLYRT</v>
      </c>
      <c r="M308">
        <v>30</v>
      </c>
      <c r="N308">
        <v>270800004</v>
      </c>
      <c r="O308" t="str">
        <f t="shared" ref="O308:O312" si="97">"次"</f>
        <v>次</v>
      </c>
      <c r="P308" t="str">
        <f t="shared" si="95"/>
        <v>病理检查</v>
      </c>
    </row>
    <row r="309" spans="1:16">
      <c r="A309" t="str">
        <f>"液基薄层细胞制片术(TCT)"</f>
        <v>液基薄层细胞制片术(TCT)</v>
      </c>
      <c r="B309" t="str">
        <f>"270800007-a"</f>
        <v>270800007-a</v>
      </c>
      <c r="C309" t="str">
        <f>"检验"</f>
        <v>检验</v>
      </c>
      <c r="D309" t="str">
        <f>"002708000040000"</f>
        <v>002708000040000</v>
      </c>
      <c r="G309">
        <v>155</v>
      </c>
      <c r="I309" t="str">
        <f>"-"</f>
        <v>-</v>
      </c>
      <c r="K309" t="str">
        <f>"YJBCXBZPSTCT"</f>
        <v>YJBCXBZPSTCT</v>
      </c>
      <c r="L309" t="str">
        <f>"IAANXERTSTCT"</f>
        <v>IAANXERTSTCT</v>
      </c>
      <c r="M309">
        <v>155</v>
      </c>
      <c r="N309" t="str">
        <f>"270800007-a"</f>
        <v>270800007-a</v>
      </c>
      <c r="O309" t="str">
        <f t="shared" si="97"/>
        <v>次</v>
      </c>
      <c r="P309" t="str">
        <f t="shared" si="95"/>
        <v>病理检查</v>
      </c>
    </row>
    <row r="310" spans="1:16">
      <c r="A310" t="str">
        <f>"感觉障碍电生理诊断"</f>
        <v>感觉障碍电生理诊断</v>
      </c>
      <c r="B310" t="str">
        <f>"310100015-1"</f>
        <v>310100015-1</v>
      </c>
      <c r="C310" t="str">
        <f>"检查"</f>
        <v>检查</v>
      </c>
      <c r="G310">
        <v>26</v>
      </c>
      <c r="K310" t="str">
        <f>"GJZADSLZD"</f>
        <v>GJZADSLZD</v>
      </c>
      <c r="L310" t="str">
        <f>"DIBDJTGYO"</f>
        <v>DIBDJTGYO</v>
      </c>
      <c r="M310">
        <v>26</v>
      </c>
      <c r="O310" t="str">
        <f>"每次"</f>
        <v>每次</v>
      </c>
      <c r="P310" t="str">
        <f t="shared" ref="P310:P320" si="98">"检查费"</f>
        <v>检查费</v>
      </c>
    </row>
    <row r="311" spans="1:16">
      <c r="A311" t="str">
        <f>"电脑血糖监测"</f>
        <v>电脑血糖监测</v>
      </c>
      <c r="B311">
        <v>310205008</v>
      </c>
      <c r="C311" t="str">
        <f>"检验"</f>
        <v>检验</v>
      </c>
      <c r="D311" t="str">
        <f>"003102050080000"</f>
        <v>003102050080000</v>
      </c>
      <c r="G311">
        <v>5.2</v>
      </c>
      <c r="I311" t="str">
        <f t="shared" si="96"/>
        <v>次</v>
      </c>
      <c r="K311" t="str">
        <f>"DNXTJC"</f>
        <v>DNXTJC</v>
      </c>
      <c r="L311" t="str">
        <f>"JETOJI"</f>
        <v>JETOJI</v>
      </c>
      <c r="M311">
        <v>5.2</v>
      </c>
      <c r="N311">
        <v>310205008</v>
      </c>
      <c r="O311" t="str">
        <f t="shared" si="97"/>
        <v>次</v>
      </c>
      <c r="P311" t="str">
        <f>"检验费"</f>
        <v>检验费</v>
      </c>
    </row>
    <row r="312" spans="1:16">
      <c r="A312" t="str">
        <f>"普通视力检查"</f>
        <v>普通视力检查</v>
      </c>
      <c r="B312">
        <v>310300001</v>
      </c>
      <c r="C312" t="str">
        <f t="shared" ref="C312:C318" si="99">"其他"</f>
        <v>其他</v>
      </c>
      <c r="D312" t="str">
        <f>"003103000010000"</f>
        <v>003103000010000</v>
      </c>
      <c r="G312">
        <v>5</v>
      </c>
      <c r="I312" t="str">
        <f t="shared" si="96"/>
        <v>次</v>
      </c>
      <c r="K312" t="str">
        <f>"PTSLJC"</f>
        <v>PTSLJC</v>
      </c>
      <c r="L312" t="str">
        <f>"UCPLSS"</f>
        <v>UCPLSS</v>
      </c>
      <c r="M312">
        <v>5</v>
      </c>
      <c r="N312">
        <v>310300001</v>
      </c>
      <c r="O312" t="str">
        <f t="shared" si="97"/>
        <v>次</v>
      </c>
      <c r="P312" t="str">
        <f t="shared" si="98"/>
        <v>检查费</v>
      </c>
    </row>
    <row r="313" spans="1:16">
      <c r="A313" t="str">
        <f>"特殊视力检查"</f>
        <v>特殊视力检查</v>
      </c>
      <c r="B313">
        <v>310300002</v>
      </c>
      <c r="C313" t="str">
        <f t="shared" si="99"/>
        <v>其他</v>
      </c>
      <c r="D313" t="str">
        <f>"003103000020000"</f>
        <v>003103000020000</v>
      </c>
      <c r="G313">
        <v>5</v>
      </c>
      <c r="I313" t="str">
        <f>"项"</f>
        <v>项</v>
      </c>
      <c r="K313" t="str">
        <f>"TSSLJC"</f>
        <v>TSSLJC</v>
      </c>
      <c r="L313" t="str">
        <f>"TGPLSS"</f>
        <v>TGPLSS</v>
      </c>
      <c r="M313">
        <v>5</v>
      </c>
      <c r="N313">
        <v>310300002</v>
      </c>
      <c r="O313" t="str">
        <f>"项"</f>
        <v>项</v>
      </c>
      <c r="P313" t="str">
        <f t="shared" si="98"/>
        <v>检查费</v>
      </c>
    </row>
    <row r="314" spans="1:16">
      <c r="A314" t="str">
        <f>"选择性观看检查"</f>
        <v>选择性观看检查</v>
      </c>
      <c r="B314">
        <v>310300003</v>
      </c>
      <c r="C314" t="str">
        <f t="shared" si="99"/>
        <v>其他</v>
      </c>
      <c r="D314" t="str">
        <f>"003103000030000"</f>
        <v>003103000030000</v>
      </c>
      <c r="G314">
        <v>20</v>
      </c>
      <c r="I314" t="str">
        <f t="shared" ref="I314:I328" si="100">"次"</f>
        <v>次</v>
      </c>
      <c r="K314" t="str">
        <f>"XZXGKJC"</f>
        <v>XZXGKJC</v>
      </c>
      <c r="L314" t="str">
        <f>"TRNCRSS"</f>
        <v>TRNCRSS</v>
      </c>
      <c r="M314">
        <v>20</v>
      </c>
      <c r="N314">
        <v>310300003</v>
      </c>
      <c r="O314" t="str">
        <f t="shared" ref="O314:O316" si="101">"次"</f>
        <v>次</v>
      </c>
      <c r="P314" t="str">
        <f t="shared" si="98"/>
        <v>检查费</v>
      </c>
    </row>
    <row r="315" spans="1:16">
      <c r="A315" t="str">
        <f>"视网膜视力检查"</f>
        <v>视网膜视力检查</v>
      </c>
      <c r="B315">
        <v>310300004</v>
      </c>
      <c r="C315" t="str">
        <f t="shared" si="99"/>
        <v>其他</v>
      </c>
      <c r="D315" t="str">
        <f>"003103000040000"</f>
        <v>003103000040000</v>
      </c>
      <c r="G315">
        <v>26</v>
      </c>
      <c r="I315" t="str">
        <f t="shared" si="100"/>
        <v>次</v>
      </c>
      <c r="K315" t="str">
        <f>"SWMSLJC"</f>
        <v>SWMSLJC</v>
      </c>
      <c r="L315" t="str">
        <f>"PMEPLSS"</f>
        <v>PMEPLSS</v>
      </c>
      <c r="M315">
        <v>26</v>
      </c>
      <c r="N315">
        <v>310300004</v>
      </c>
      <c r="O315" t="str">
        <f t="shared" si="101"/>
        <v>次</v>
      </c>
      <c r="P315" t="str">
        <f t="shared" si="98"/>
        <v>检查费</v>
      </c>
    </row>
    <row r="316" spans="1:16">
      <c r="A316" t="str">
        <f>"斜视度测定"</f>
        <v>斜视度测定</v>
      </c>
      <c r="B316">
        <v>310300013</v>
      </c>
      <c r="C316" t="str">
        <f t="shared" si="99"/>
        <v>其他</v>
      </c>
      <c r="D316" t="str">
        <f>"003103000130000"</f>
        <v>003103000130000</v>
      </c>
      <c r="G316">
        <v>18</v>
      </c>
      <c r="I316" t="str">
        <f t="shared" si="100"/>
        <v>次</v>
      </c>
      <c r="K316" t="str">
        <f>"XSDCD"</f>
        <v>XSDCD</v>
      </c>
      <c r="L316" t="str">
        <f>"WPYIP"</f>
        <v>WPYIP</v>
      </c>
      <c r="M316">
        <v>18</v>
      </c>
      <c r="N316">
        <v>310300013</v>
      </c>
      <c r="O316" t="str">
        <f t="shared" si="101"/>
        <v>次</v>
      </c>
      <c r="P316" t="str">
        <f t="shared" si="98"/>
        <v>检查费</v>
      </c>
    </row>
    <row r="317" spans="1:16">
      <c r="A317" t="str">
        <f>"双眼视觉检查"</f>
        <v>双眼视觉检查</v>
      </c>
      <c r="B317">
        <v>310300019</v>
      </c>
      <c r="C317" t="str">
        <f t="shared" si="99"/>
        <v>其他</v>
      </c>
      <c r="D317" t="str">
        <f>"003103000190000"</f>
        <v>003103000190000</v>
      </c>
      <c r="G317">
        <v>18</v>
      </c>
      <c r="I317" t="str">
        <f t="shared" si="100"/>
        <v>次</v>
      </c>
      <c r="K317" t="str">
        <f>"SYSJJC"</f>
        <v>SYSJJC</v>
      </c>
      <c r="L317" t="str">
        <f>"CHPISS"</f>
        <v>CHPISS</v>
      </c>
      <c r="M317">
        <v>18</v>
      </c>
      <c r="N317">
        <v>310300019</v>
      </c>
      <c r="O317" t="str">
        <f t="shared" ref="O317:O321" si="102">"次(双眼)"</f>
        <v>次(双眼)</v>
      </c>
      <c r="P317" t="str">
        <f t="shared" si="98"/>
        <v>检查费</v>
      </c>
    </row>
    <row r="318" spans="1:16">
      <c r="A318" t="str">
        <f>"色觉检查"</f>
        <v>色觉检查</v>
      </c>
      <c r="B318">
        <v>310300020</v>
      </c>
      <c r="C318" t="str">
        <f t="shared" si="99"/>
        <v>其他</v>
      </c>
      <c r="D318" t="str">
        <f>"003103000200000"</f>
        <v>003103000200000</v>
      </c>
      <c r="G318">
        <v>7</v>
      </c>
      <c r="I318" t="str">
        <f t="shared" si="100"/>
        <v>次</v>
      </c>
      <c r="K318" t="str">
        <f>"SJJC"</f>
        <v>SJJC</v>
      </c>
      <c r="L318" t="str">
        <f>"QISS"</f>
        <v>QISS</v>
      </c>
      <c r="M318">
        <v>7</v>
      </c>
      <c r="N318">
        <v>310300020</v>
      </c>
      <c r="O318" t="str">
        <f>"次"</f>
        <v>次</v>
      </c>
      <c r="P318" t="str">
        <f t="shared" si="98"/>
        <v>检查费</v>
      </c>
    </row>
    <row r="319" spans="1:16">
      <c r="A319" t="str">
        <f>"色觉检查(驾照体检包)"</f>
        <v>色觉检查(驾照体检包)</v>
      </c>
      <c r="B319" t="str">
        <f>"310300020-1"</f>
        <v>310300020-1</v>
      </c>
      <c r="C319" t="str">
        <f t="shared" ref="C319:C323" si="103">"检查"</f>
        <v>检查</v>
      </c>
      <c r="D319" t="str">
        <f>"003103000200000"</f>
        <v>003103000200000</v>
      </c>
      <c r="G319">
        <v>2</v>
      </c>
      <c r="I319" t="str">
        <f t="shared" si="100"/>
        <v>次</v>
      </c>
      <c r="K319" t="str">
        <f>"SJJCJZTJB"</f>
        <v>SJJCJZTJB</v>
      </c>
      <c r="L319" t="str">
        <f>"QISSLJWSQ"</f>
        <v>QISSLJWSQ</v>
      </c>
      <c r="M319">
        <v>2</v>
      </c>
      <c r="O319" t="str">
        <f t="shared" si="102"/>
        <v>次(双眼)</v>
      </c>
      <c r="P319" t="str">
        <f t="shared" si="98"/>
        <v>检查费</v>
      </c>
    </row>
    <row r="320" spans="1:16">
      <c r="A320" t="str">
        <f>"眼压检查（非接触眼压计法）"</f>
        <v>眼压检查（非接触眼压计法）</v>
      </c>
      <c r="B320" t="str">
        <f>"310300027-1"</f>
        <v>310300027-1</v>
      </c>
      <c r="C320" t="str">
        <f t="shared" si="103"/>
        <v>检查</v>
      </c>
      <c r="D320" t="str">
        <f>"003103000270000"</f>
        <v>003103000270000</v>
      </c>
      <c r="G320">
        <v>13</v>
      </c>
      <c r="I320" t="str">
        <f t="shared" si="100"/>
        <v>次</v>
      </c>
      <c r="K320" t="str">
        <f>"YYJCFJCYYJF"</f>
        <v>YYJCFJCYYJF</v>
      </c>
      <c r="L320" t="str">
        <f>"HDSSDRQHDYI"</f>
        <v>HDSSDRQHDYI</v>
      </c>
      <c r="M320">
        <v>13</v>
      </c>
      <c r="N320">
        <v>310300027</v>
      </c>
      <c r="O320" t="str">
        <f t="shared" si="102"/>
        <v>次(双眼)</v>
      </c>
      <c r="P320" t="str">
        <f t="shared" si="98"/>
        <v>检查费</v>
      </c>
    </row>
    <row r="321" spans="1:16">
      <c r="A321" t="str">
        <f>"泪道冲洗"</f>
        <v>泪道冲洗</v>
      </c>
      <c r="B321">
        <v>310300036</v>
      </c>
      <c r="C321" t="str">
        <f t="shared" ref="C321:C325" si="104">"其他"</f>
        <v>其他</v>
      </c>
      <c r="D321" t="str">
        <f>"003103000360000"</f>
        <v>003103000360000</v>
      </c>
      <c r="G321">
        <v>6</v>
      </c>
      <c r="I321" t="str">
        <f t="shared" si="100"/>
        <v>次</v>
      </c>
      <c r="K321" t="str">
        <f>"LDCX"</f>
        <v>LDCX</v>
      </c>
      <c r="L321" t="str">
        <f>"IUUI"</f>
        <v>IUUI</v>
      </c>
      <c r="M321">
        <v>6</v>
      </c>
      <c r="N321">
        <v>310300036</v>
      </c>
      <c r="O321" t="str">
        <f t="shared" si="102"/>
        <v>次(双眼)</v>
      </c>
      <c r="P321" t="str">
        <f>"治疗费"</f>
        <v>治疗费</v>
      </c>
    </row>
    <row r="322" spans="1:16">
      <c r="A322" t="str">
        <f>"裂隙灯检查"</f>
        <v>裂隙灯检查</v>
      </c>
      <c r="B322">
        <v>310300048</v>
      </c>
      <c r="C322" t="str">
        <f t="shared" si="103"/>
        <v>检查</v>
      </c>
      <c r="D322" t="str">
        <f>"003103000480000"</f>
        <v>003103000480000</v>
      </c>
      <c r="G322">
        <v>6</v>
      </c>
      <c r="I322" t="str">
        <f t="shared" si="100"/>
        <v>次</v>
      </c>
      <c r="K322" t="str">
        <f>"LXDJC"</f>
        <v>LXDJC</v>
      </c>
      <c r="L322" t="str">
        <f>"GBOSS"</f>
        <v>GBOSS</v>
      </c>
      <c r="M322">
        <v>6</v>
      </c>
      <c r="N322">
        <v>310300048</v>
      </c>
      <c r="O322" t="str">
        <f t="shared" ref="O322:O337" si="105">"次"</f>
        <v>次</v>
      </c>
      <c r="P322" t="str">
        <f t="shared" ref="P322:P326" si="106">"检查费"</f>
        <v>检查费</v>
      </c>
    </row>
    <row r="323" spans="1:16">
      <c r="A323" t="str">
        <f>"裂隙灯下眼底检查"</f>
        <v>裂隙灯下眼底检查</v>
      </c>
      <c r="B323">
        <v>310300049</v>
      </c>
      <c r="C323" t="str">
        <f t="shared" si="103"/>
        <v>检查</v>
      </c>
      <c r="D323" t="str">
        <f>"003103000490000"</f>
        <v>003103000490000</v>
      </c>
      <c r="G323">
        <v>13</v>
      </c>
      <c r="I323" t="str">
        <f t="shared" si="100"/>
        <v>次</v>
      </c>
      <c r="K323" t="str">
        <f>"LXDXYDJC"</f>
        <v>LXDXYDJC</v>
      </c>
      <c r="L323" t="str">
        <f>"GBOGHYSS"</f>
        <v>GBOGHYSS</v>
      </c>
      <c r="M323">
        <v>13</v>
      </c>
      <c r="N323">
        <v>310300049</v>
      </c>
      <c r="O323" t="str">
        <f>"次(双眼)"</f>
        <v>次(双眼)</v>
      </c>
      <c r="P323" t="str">
        <f t="shared" si="106"/>
        <v>检查费</v>
      </c>
    </row>
    <row r="324" spans="1:16">
      <c r="A324" t="str">
        <f>"眼位照相"</f>
        <v>眼位照相</v>
      </c>
      <c r="B324">
        <v>310300051</v>
      </c>
      <c r="C324" t="str">
        <f t="shared" si="104"/>
        <v>其他</v>
      </c>
      <c r="D324" t="str">
        <f>"003103000510000"</f>
        <v>003103000510000</v>
      </c>
      <c r="G324">
        <v>26</v>
      </c>
      <c r="I324" t="str">
        <f t="shared" si="100"/>
        <v>次</v>
      </c>
      <c r="K324" t="str">
        <f>"YWZX"</f>
        <v>YWZX</v>
      </c>
      <c r="L324" t="str">
        <f>"HWJS"</f>
        <v>HWJS</v>
      </c>
      <c r="M324">
        <v>26</v>
      </c>
      <c r="N324">
        <v>310300051</v>
      </c>
      <c r="O324" t="str">
        <f t="shared" si="105"/>
        <v>次</v>
      </c>
      <c r="P324" t="str">
        <f t="shared" si="106"/>
        <v>检查费</v>
      </c>
    </row>
    <row r="325" spans="1:16">
      <c r="A325" t="str">
        <f>"眼底照相"</f>
        <v>眼底照相</v>
      </c>
      <c r="B325">
        <v>310300053</v>
      </c>
      <c r="C325" t="str">
        <f t="shared" si="104"/>
        <v>其他</v>
      </c>
      <c r="D325" t="str">
        <f>"003103000530000"</f>
        <v>003103000530000</v>
      </c>
      <c r="G325">
        <v>35</v>
      </c>
      <c r="I325" t="str">
        <f t="shared" si="100"/>
        <v>次</v>
      </c>
      <c r="K325" t="str">
        <f>"YDZX"</f>
        <v>YDZX</v>
      </c>
      <c r="L325" t="str">
        <f>"HYJS"</f>
        <v>HYJS</v>
      </c>
      <c r="M325">
        <v>35</v>
      </c>
      <c r="N325">
        <v>310300053</v>
      </c>
      <c r="O325" t="str">
        <f t="shared" si="105"/>
        <v>次</v>
      </c>
      <c r="P325" t="str">
        <f t="shared" si="106"/>
        <v>检查费</v>
      </c>
    </row>
    <row r="326" spans="1:16">
      <c r="A326" t="str">
        <f>"眼底检查"</f>
        <v>眼底检查</v>
      </c>
      <c r="B326">
        <v>310300056</v>
      </c>
      <c r="C326" t="str">
        <f>"检查"</f>
        <v>检查</v>
      </c>
      <c r="D326" t="str">
        <f>"003103000560000"</f>
        <v>003103000560000</v>
      </c>
      <c r="G326">
        <v>8</v>
      </c>
      <c r="I326" t="str">
        <f t="shared" si="100"/>
        <v>次</v>
      </c>
      <c r="K326" t="str">
        <f>"YDJC"</f>
        <v>YDJC</v>
      </c>
      <c r="L326" t="str">
        <f>"HYSS"</f>
        <v>HYSS</v>
      </c>
      <c r="M326">
        <v>8</v>
      </c>
      <c r="N326">
        <v>310300056</v>
      </c>
      <c r="O326" t="str">
        <f t="shared" si="105"/>
        <v>次</v>
      </c>
      <c r="P326" t="str">
        <f t="shared" si="106"/>
        <v>检查费</v>
      </c>
    </row>
    <row r="327" spans="1:16">
      <c r="A327" t="str">
        <f>"拔倒睫"</f>
        <v>拔倒睫</v>
      </c>
      <c r="B327" t="str">
        <f>"310300085-1"</f>
        <v>310300085-1</v>
      </c>
      <c r="C327" t="str">
        <f>"治疗"</f>
        <v>治疗</v>
      </c>
      <c r="D327" t="str">
        <f>"003103000850000"</f>
        <v>003103000850000</v>
      </c>
      <c r="G327">
        <v>13</v>
      </c>
      <c r="I327" t="str">
        <f t="shared" si="100"/>
        <v>次</v>
      </c>
      <c r="K327" t="str">
        <f>"BDJ"</f>
        <v>BDJ</v>
      </c>
      <c r="L327" t="str">
        <f>"RWH"</f>
        <v>RWH</v>
      </c>
      <c r="M327">
        <v>13</v>
      </c>
      <c r="N327">
        <v>310300085</v>
      </c>
      <c r="O327" t="str">
        <f t="shared" si="105"/>
        <v>次</v>
      </c>
      <c r="P327" t="str">
        <f t="shared" ref="P327:P335" si="107">"治疗费"</f>
        <v>治疗费</v>
      </c>
    </row>
    <row r="328" spans="1:16">
      <c r="A328" t="str">
        <f>"睑板腺按摩"</f>
        <v>睑板腺按摩</v>
      </c>
      <c r="B328">
        <v>310300087</v>
      </c>
      <c r="C328" t="str">
        <f t="shared" ref="C328:C338" si="108">"其他"</f>
        <v>其他</v>
      </c>
      <c r="D328" t="str">
        <f>"003103000870000"</f>
        <v>003103000870000</v>
      </c>
      <c r="G328">
        <v>13</v>
      </c>
      <c r="I328" t="str">
        <f t="shared" si="100"/>
        <v>次</v>
      </c>
      <c r="K328" t="str">
        <f>"BXAM"</f>
        <v>BXAM</v>
      </c>
      <c r="L328" t="str">
        <f>"HSERY"</f>
        <v>HSERY</v>
      </c>
      <c r="M328">
        <v>13</v>
      </c>
      <c r="N328">
        <v>310300087</v>
      </c>
      <c r="O328" t="str">
        <f t="shared" si="105"/>
        <v>次</v>
      </c>
      <c r="P328" t="str">
        <f t="shared" si="107"/>
        <v>治疗费</v>
      </c>
    </row>
    <row r="329" spans="1:16">
      <c r="A329" t="str">
        <f>"冲洗结膜囊"</f>
        <v>冲洗结膜囊</v>
      </c>
      <c r="B329">
        <v>310300088</v>
      </c>
      <c r="C329" t="str">
        <f t="shared" si="108"/>
        <v>其他</v>
      </c>
      <c r="D329" t="str">
        <f>"003103000880000"</f>
        <v>003103000880000</v>
      </c>
      <c r="G329">
        <v>5</v>
      </c>
      <c r="I329" t="str">
        <f>"-"</f>
        <v>-</v>
      </c>
      <c r="K329" t="str">
        <f>"CXJMN"</f>
        <v>CXJMN</v>
      </c>
      <c r="L329" t="str">
        <f>"UIXEG"</f>
        <v>UIXEG</v>
      </c>
      <c r="M329">
        <v>5</v>
      </c>
      <c r="N329">
        <v>310300088</v>
      </c>
      <c r="O329" t="str">
        <f t="shared" si="105"/>
        <v>次</v>
      </c>
      <c r="P329" t="str">
        <f t="shared" si="107"/>
        <v>治疗费</v>
      </c>
    </row>
    <row r="330" spans="1:16">
      <c r="A330" t="str">
        <f>"取结膜结石"</f>
        <v>取结膜结石</v>
      </c>
      <c r="B330">
        <v>310300091</v>
      </c>
      <c r="C330" t="str">
        <f t="shared" si="108"/>
        <v>其他</v>
      </c>
      <c r="D330" t="str">
        <f>"003103000910000"</f>
        <v>003103000910000</v>
      </c>
      <c r="G330">
        <v>13</v>
      </c>
      <c r="I330" t="str">
        <f t="shared" ref="I330:I335" si="109">"次"</f>
        <v>次</v>
      </c>
      <c r="K330" t="str">
        <f>"QJMJS"</f>
        <v>QJMJS</v>
      </c>
      <c r="L330" t="str">
        <f>"BXEXD"</f>
        <v>BXEXD</v>
      </c>
      <c r="M330">
        <v>13</v>
      </c>
      <c r="N330">
        <v>310300091</v>
      </c>
      <c r="O330" t="str">
        <f t="shared" si="105"/>
        <v>次</v>
      </c>
      <c r="P330" t="str">
        <f t="shared" si="107"/>
        <v>治疗费</v>
      </c>
    </row>
    <row r="331" spans="1:16">
      <c r="A331" t="str">
        <f>"眼部脓肿切开引流术"</f>
        <v>眼部脓肿切开引流术</v>
      </c>
      <c r="B331">
        <v>310300093</v>
      </c>
      <c r="C331" t="str">
        <f t="shared" si="108"/>
        <v>其他</v>
      </c>
      <c r="D331" t="str">
        <f>"003103000930000"</f>
        <v>003103000930000</v>
      </c>
      <c r="G331">
        <v>65</v>
      </c>
      <c r="I331" t="str">
        <f t="shared" si="109"/>
        <v>次</v>
      </c>
      <c r="K331" t="str">
        <f>"YBNZQKYLS"</f>
        <v>YBNZQKYLS</v>
      </c>
      <c r="L331" t="str">
        <f>"HUEEAGXIS"</f>
        <v>HUEEAGXIS</v>
      </c>
      <c r="M331">
        <v>65</v>
      </c>
      <c r="N331">
        <v>310300093</v>
      </c>
      <c r="O331" t="str">
        <f t="shared" si="105"/>
        <v>次</v>
      </c>
      <c r="P331" t="str">
        <f t="shared" si="107"/>
        <v>治疗费</v>
      </c>
    </row>
    <row r="332" spans="1:16">
      <c r="A332" t="str">
        <f>"角膜异物剔除术"</f>
        <v>角膜异物剔除术</v>
      </c>
      <c r="B332">
        <v>310300102</v>
      </c>
      <c r="C332" t="str">
        <f t="shared" si="108"/>
        <v>其他</v>
      </c>
      <c r="D332" t="str">
        <f>"003103001020000"</f>
        <v>003103001020000</v>
      </c>
      <c r="G332">
        <v>30</v>
      </c>
      <c r="I332" t="str">
        <f t="shared" si="109"/>
        <v>次</v>
      </c>
      <c r="K332" t="str">
        <f>"JMYWTCS"</f>
        <v>JMYWTCS</v>
      </c>
      <c r="L332" t="str">
        <f>"QENTJBS"</f>
        <v>QENTJBS</v>
      </c>
      <c r="M332">
        <v>30</v>
      </c>
      <c r="N332">
        <v>310300102</v>
      </c>
      <c r="O332" t="str">
        <f t="shared" si="105"/>
        <v>次</v>
      </c>
      <c r="P332" t="str">
        <f t="shared" si="107"/>
        <v>治疗费</v>
      </c>
    </row>
    <row r="333" spans="1:16">
      <c r="A333" t="str">
        <f>"泪小点扩张"</f>
        <v>泪小点扩张</v>
      </c>
      <c r="B333">
        <v>310300105</v>
      </c>
      <c r="C333" t="str">
        <f t="shared" si="108"/>
        <v>其他</v>
      </c>
      <c r="D333" t="str">
        <f>"003103001050000"</f>
        <v>003103001050000</v>
      </c>
      <c r="G333">
        <v>13</v>
      </c>
      <c r="I333" t="str">
        <f t="shared" si="109"/>
        <v>次</v>
      </c>
      <c r="K333" t="str">
        <f>"LXDKZ"</f>
        <v>LXDKZ</v>
      </c>
      <c r="L333" t="str">
        <f>"IIHRX"</f>
        <v>IIHRX</v>
      </c>
      <c r="M333">
        <v>13</v>
      </c>
      <c r="N333">
        <v>310300105</v>
      </c>
      <c r="O333" t="str">
        <f t="shared" si="105"/>
        <v>次</v>
      </c>
      <c r="P333" t="str">
        <f t="shared" si="107"/>
        <v>治疗费</v>
      </c>
    </row>
    <row r="334" spans="1:16">
      <c r="A334" t="str">
        <f>"泪道探通术"</f>
        <v>泪道探通术</v>
      </c>
      <c r="B334">
        <v>310300106</v>
      </c>
      <c r="C334" t="str">
        <f t="shared" si="108"/>
        <v>其他</v>
      </c>
      <c r="D334" t="str">
        <f>"003103001060000"</f>
        <v>003103001060000</v>
      </c>
      <c r="G334">
        <v>15</v>
      </c>
      <c r="I334" t="str">
        <f t="shared" si="109"/>
        <v>次</v>
      </c>
      <c r="K334" t="str">
        <f>"LDTTS"</f>
        <v>LDTTS</v>
      </c>
      <c r="L334" t="str">
        <f>"IURCS"</f>
        <v>IURCS</v>
      </c>
      <c r="M334">
        <v>15</v>
      </c>
      <c r="N334">
        <v>310300106</v>
      </c>
      <c r="O334" t="str">
        <f t="shared" si="105"/>
        <v>次</v>
      </c>
      <c r="P334" t="str">
        <f t="shared" si="107"/>
        <v>治疗费</v>
      </c>
    </row>
    <row r="335" spans="1:16">
      <c r="A335" t="str">
        <f>"鼻异物取出"</f>
        <v>鼻异物取出</v>
      </c>
      <c r="B335">
        <v>310402024</v>
      </c>
      <c r="C335" t="str">
        <f t="shared" si="108"/>
        <v>其他</v>
      </c>
      <c r="D335" t="str">
        <f>"003104020240000"</f>
        <v>003104020240000</v>
      </c>
      <c r="G335">
        <v>20</v>
      </c>
      <c r="I335" t="str">
        <f t="shared" si="109"/>
        <v>次</v>
      </c>
      <c r="K335" t="str">
        <f>"BYWQC"</f>
        <v>BYWQC</v>
      </c>
      <c r="L335" t="str">
        <f>"TNTBB"</f>
        <v>TNTBB</v>
      </c>
      <c r="M335">
        <v>20</v>
      </c>
      <c r="N335">
        <v>310402024</v>
      </c>
      <c r="O335" t="str">
        <f t="shared" si="105"/>
        <v>次</v>
      </c>
      <c r="P335" t="str">
        <f t="shared" si="107"/>
        <v>治疗费</v>
      </c>
    </row>
    <row r="336" spans="1:16">
      <c r="A336" t="str">
        <f>"全口牙病系统检查与治疗设计"</f>
        <v>全口牙病系统检查与治疗设计</v>
      </c>
      <c r="B336">
        <v>310501001</v>
      </c>
      <c r="C336" t="str">
        <f t="shared" si="108"/>
        <v>其他</v>
      </c>
      <c r="D336" t="str">
        <f>"003105010010000"</f>
        <v>003105010010000</v>
      </c>
      <c r="G336">
        <v>12</v>
      </c>
      <c r="I336" t="str">
        <f>"-"</f>
        <v>-</v>
      </c>
      <c r="K336" t="str">
        <f>"QKYBXTJCYZ"</f>
        <v>QKYBXTJCYZ</v>
      </c>
      <c r="L336" t="str">
        <f>"WKAUTXSSGI"</f>
        <v>WKAUTXSSGI</v>
      </c>
      <c r="M336">
        <v>12</v>
      </c>
      <c r="N336">
        <v>310501001</v>
      </c>
      <c r="O336" t="str">
        <f t="shared" si="105"/>
        <v>次</v>
      </c>
      <c r="P336" t="str">
        <f t="shared" ref="P336:P343" si="110">"检查费"</f>
        <v>检查费</v>
      </c>
    </row>
    <row r="337" spans="1:16">
      <c r="A337" t="str">
        <f>"咬合检查"</f>
        <v>咬合检查</v>
      </c>
      <c r="B337">
        <v>310501002</v>
      </c>
      <c r="C337" t="str">
        <f t="shared" si="108"/>
        <v>其他</v>
      </c>
      <c r="D337" t="str">
        <f>"003105010020000"</f>
        <v>003105010020000</v>
      </c>
      <c r="G337">
        <v>2.4</v>
      </c>
      <c r="I337" t="str">
        <f>"次"</f>
        <v>次</v>
      </c>
      <c r="K337" t="str">
        <f>"YHJC"</f>
        <v>YHJC</v>
      </c>
      <c r="L337" t="str">
        <f>"KWSS"</f>
        <v>KWSS</v>
      </c>
      <c r="M337">
        <v>2.4</v>
      </c>
      <c r="N337">
        <v>310501002</v>
      </c>
      <c r="O337" t="str">
        <f t="shared" si="105"/>
        <v>次</v>
      </c>
      <c r="P337" t="str">
        <f t="shared" si="110"/>
        <v>检查费</v>
      </c>
    </row>
    <row r="338" spans="1:16">
      <c r="A338" t="str">
        <f>"口腔模型制备"</f>
        <v>口腔模型制备</v>
      </c>
      <c r="B338">
        <v>310501007</v>
      </c>
      <c r="C338" t="str">
        <f t="shared" si="108"/>
        <v>其他</v>
      </c>
      <c r="D338" t="str">
        <f>"003105010070000"</f>
        <v>003105010070000</v>
      </c>
      <c r="G338">
        <v>24</v>
      </c>
      <c r="I338" t="str">
        <f>"单颌"</f>
        <v>单颌</v>
      </c>
      <c r="K338" t="str">
        <f>"KQMXZB"</f>
        <v>KQMXZB</v>
      </c>
      <c r="L338" t="str">
        <f>"KESGRT"</f>
        <v>KESGRT</v>
      </c>
      <c r="M338">
        <v>24</v>
      </c>
      <c r="N338">
        <v>310501007</v>
      </c>
      <c r="O338" t="str">
        <f>"单颌"</f>
        <v>单颌</v>
      </c>
      <c r="P338" t="str">
        <f>"治疗费"</f>
        <v>治疗费</v>
      </c>
    </row>
    <row r="339" spans="1:16">
      <c r="A339" t="str">
        <f>"硅橡胶印模材料"</f>
        <v>硅橡胶印模材料</v>
      </c>
      <c r="B339" t="str">
        <f>"310501007-1-1"</f>
        <v>310501007-1-1</v>
      </c>
      <c r="C339" t="str">
        <f>"材料"</f>
        <v>材料</v>
      </c>
      <c r="D339" t="str">
        <f>"C0708011460100004864"</f>
        <v>C0708011460100004864</v>
      </c>
      <c r="G339">
        <v>36</v>
      </c>
      <c r="I339" t="str">
        <f>"托盘型"</f>
        <v>托盘型</v>
      </c>
      <c r="K339" t="str">
        <f>"GXJYMCL"</f>
        <v>GXJYMCL</v>
      </c>
      <c r="L339" t="str">
        <f>"DSEQSSO"</f>
        <v>DSEQSSO</v>
      </c>
      <c r="M339">
        <v>36</v>
      </c>
      <c r="O339" t="str">
        <f>"套"</f>
        <v>套</v>
      </c>
      <c r="P339" t="str">
        <f>"材料费"</f>
        <v>材料费</v>
      </c>
    </row>
    <row r="340" spans="1:16">
      <c r="A340" t="str">
        <f>"口腔内镜检查"</f>
        <v>口腔内镜检查</v>
      </c>
      <c r="B340">
        <v>310501011</v>
      </c>
      <c r="C340" t="str">
        <f t="shared" ref="C340:C344" si="111">"其他"</f>
        <v>其他</v>
      </c>
      <c r="D340" t="str">
        <f>"003105010110000"</f>
        <v>003105010110000</v>
      </c>
      <c r="G340">
        <v>12</v>
      </c>
      <c r="I340" t="str">
        <f>"-"</f>
        <v>-</v>
      </c>
      <c r="K340" t="str">
        <f>"KQNJJC"</f>
        <v>KQNJJC</v>
      </c>
      <c r="L340" t="str">
        <f>"KEMQSS"</f>
        <v>KEMQSS</v>
      </c>
      <c r="M340">
        <v>12</v>
      </c>
      <c r="N340">
        <v>310501011</v>
      </c>
      <c r="O340" t="str">
        <f t="shared" ref="O340:O350" si="112">"每牙"</f>
        <v>每牙</v>
      </c>
      <c r="P340" t="str">
        <f t="shared" si="110"/>
        <v>检查费</v>
      </c>
    </row>
    <row r="341" spans="1:16">
      <c r="A341" t="str">
        <f>"牙髓活力检查"</f>
        <v>牙髓活力检查</v>
      </c>
      <c r="B341">
        <v>310502001</v>
      </c>
      <c r="C341" t="str">
        <f t="shared" si="111"/>
        <v>其他</v>
      </c>
      <c r="D341" t="str">
        <f>"003105020010000"</f>
        <v>003105020010000</v>
      </c>
      <c r="G341">
        <v>2.4</v>
      </c>
      <c r="I341" t="str">
        <f t="shared" ref="I341:I345" si="113">"每牙"</f>
        <v>每牙</v>
      </c>
      <c r="K341" t="str">
        <f>"YSHLJC"</f>
        <v>YSHLJC</v>
      </c>
      <c r="L341" t="str">
        <f>"AMILSS"</f>
        <v>AMILSS</v>
      </c>
      <c r="M341">
        <v>2.4</v>
      </c>
      <c r="N341">
        <v>310502001</v>
      </c>
      <c r="O341" t="str">
        <f t="shared" si="112"/>
        <v>每牙</v>
      </c>
      <c r="P341" t="str">
        <f t="shared" si="110"/>
        <v>检查费</v>
      </c>
    </row>
    <row r="342" spans="1:16">
      <c r="A342" t="str">
        <f>"根管长度测量"</f>
        <v>根管长度测量</v>
      </c>
      <c r="B342">
        <v>310502002</v>
      </c>
      <c r="C342" t="str">
        <f t="shared" si="111"/>
        <v>其他</v>
      </c>
      <c r="D342" t="str">
        <f>"003105020020000"</f>
        <v>003105020020000</v>
      </c>
      <c r="G342">
        <v>4.8</v>
      </c>
      <c r="I342" t="str">
        <f>"每根管"</f>
        <v>每根管</v>
      </c>
      <c r="K342" t="str">
        <f>"GGCDCL"</f>
        <v>GGCDCL</v>
      </c>
      <c r="L342" t="str">
        <f>"STTYIJ"</f>
        <v>STTYIJ</v>
      </c>
      <c r="M342">
        <v>4.8</v>
      </c>
      <c r="N342">
        <v>310502002</v>
      </c>
      <c r="O342" t="str">
        <f>"每根管"</f>
        <v>每根管</v>
      </c>
      <c r="P342" t="str">
        <f t="shared" si="110"/>
        <v>检查费</v>
      </c>
    </row>
    <row r="343" spans="1:16">
      <c r="A343" t="str">
        <f>"咬合动度测定"</f>
        <v>咬合动度测定</v>
      </c>
      <c r="B343">
        <v>310503003</v>
      </c>
      <c r="C343" t="str">
        <f t="shared" si="111"/>
        <v>其他</v>
      </c>
      <c r="D343" t="str">
        <f>"003105030030000"</f>
        <v>003105030030000</v>
      </c>
      <c r="G343">
        <v>2.4</v>
      </c>
      <c r="I343" t="str">
        <f>"次"</f>
        <v>次</v>
      </c>
      <c r="K343" t="str">
        <f>"YHDDCD"</f>
        <v>YHDDCD</v>
      </c>
      <c r="L343" t="str">
        <f>"KWFYIP"</f>
        <v>KWFYIP</v>
      </c>
      <c r="M343">
        <v>2.4</v>
      </c>
      <c r="N343">
        <v>310503003</v>
      </c>
      <c r="O343" t="str">
        <f>"次"</f>
        <v>次</v>
      </c>
      <c r="P343" t="str">
        <f t="shared" si="110"/>
        <v>检查费</v>
      </c>
    </row>
    <row r="344" spans="1:16">
      <c r="A344" t="str">
        <f>"调合"</f>
        <v>调合</v>
      </c>
      <c r="B344">
        <v>310510001</v>
      </c>
      <c r="C344" t="str">
        <f t="shared" si="111"/>
        <v>其他</v>
      </c>
      <c r="D344" t="str">
        <f>"003105100010000"</f>
        <v>003105100010000</v>
      </c>
      <c r="G344">
        <v>3.6</v>
      </c>
      <c r="I344" t="str">
        <f t="shared" si="113"/>
        <v>每牙</v>
      </c>
      <c r="K344" t="str">
        <f>"DH"</f>
        <v>DH</v>
      </c>
      <c r="L344" t="str">
        <f>"YW"</f>
        <v>YW</v>
      </c>
      <c r="M344">
        <v>3.6</v>
      </c>
      <c r="N344">
        <v>310510001</v>
      </c>
      <c r="O344" t="str">
        <f t="shared" si="112"/>
        <v>每牙</v>
      </c>
      <c r="P344" t="str">
        <f t="shared" ref="P344:P352" si="114">"治疗费"</f>
        <v>治疗费</v>
      </c>
    </row>
    <row r="345" spans="1:16">
      <c r="A345" t="str">
        <f>"氟防龋治疗(≤6周岁儿童)"</f>
        <v>氟防龋治疗(≤6周岁儿童)</v>
      </c>
      <c r="B345" t="str">
        <f>"310510002-2"</f>
        <v>310510002-2</v>
      </c>
      <c r="C345" t="str">
        <f>"治疗"</f>
        <v>治疗</v>
      </c>
      <c r="D345" t="str">
        <f>"003105100020000"</f>
        <v>003105100020000</v>
      </c>
      <c r="G345">
        <v>1.6</v>
      </c>
      <c r="I345" t="str">
        <f t="shared" si="113"/>
        <v>每牙</v>
      </c>
      <c r="K345" t="str">
        <f>"FFQZL6ZSET"</f>
        <v>FFQZL6ZSET</v>
      </c>
      <c r="L345" t="str">
        <f>"RBHIU6MMQU"</f>
        <v>RBHIU6MMQU</v>
      </c>
      <c r="M345">
        <v>1.6</v>
      </c>
      <c r="N345">
        <v>310510002</v>
      </c>
      <c r="O345" t="str">
        <f t="shared" si="112"/>
        <v>每牙</v>
      </c>
      <c r="P345" t="str">
        <f t="shared" si="114"/>
        <v>治疗费</v>
      </c>
    </row>
    <row r="346" spans="1:16">
      <c r="A346" t="str">
        <f>"牙脱敏治疗"</f>
        <v>牙脱敏治疗</v>
      </c>
      <c r="B346">
        <v>310510003</v>
      </c>
      <c r="C346" t="str">
        <f t="shared" ref="C346:C352" si="115">"其他"</f>
        <v>其他</v>
      </c>
      <c r="D346" t="str">
        <f>"003105100030000"</f>
        <v>003105100030000</v>
      </c>
      <c r="G346">
        <v>3.6</v>
      </c>
      <c r="I346" t="str">
        <f>"-"</f>
        <v>-</v>
      </c>
      <c r="K346" t="str">
        <f>"YTMZL"</f>
        <v>YTMZL</v>
      </c>
      <c r="L346" t="str">
        <f>"AETIU"</f>
        <v>AETIU</v>
      </c>
      <c r="M346">
        <v>3.6</v>
      </c>
      <c r="N346">
        <v>310510003</v>
      </c>
      <c r="O346" t="str">
        <f t="shared" si="112"/>
        <v>每牙</v>
      </c>
      <c r="P346" t="str">
        <f t="shared" si="114"/>
        <v>治疗费</v>
      </c>
    </row>
    <row r="347" spans="1:16">
      <c r="A347" t="str">
        <f>"口腔局部冲洗上药"</f>
        <v>口腔局部冲洗上药</v>
      </c>
      <c r="B347">
        <v>310510004</v>
      </c>
      <c r="C347" t="str">
        <f t="shared" si="115"/>
        <v>其他</v>
      </c>
      <c r="D347" t="str">
        <f>"003105100040000"</f>
        <v>003105100040000</v>
      </c>
      <c r="G347">
        <v>1.2</v>
      </c>
      <c r="I347" t="str">
        <f t="shared" ref="I347:I350" si="116">"每牙"</f>
        <v>每牙</v>
      </c>
      <c r="K347" t="str">
        <f>"KQJBCXSY"</f>
        <v>KQJBCXSY</v>
      </c>
      <c r="L347" t="str">
        <f>"KENUUIHA"</f>
        <v>KENUUIHA</v>
      </c>
      <c r="M347">
        <v>1.2</v>
      </c>
      <c r="N347">
        <v>310510004</v>
      </c>
      <c r="O347" t="str">
        <f t="shared" si="112"/>
        <v>每牙</v>
      </c>
      <c r="P347" t="str">
        <f t="shared" si="114"/>
        <v>治疗费</v>
      </c>
    </row>
    <row r="348" spans="1:16">
      <c r="A348" t="str">
        <f>"不良修复体拆除"</f>
        <v>不良修复体拆除</v>
      </c>
      <c r="B348">
        <v>310510005</v>
      </c>
      <c r="C348" t="str">
        <f t="shared" si="115"/>
        <v>其他</v>
      </c>
      <c r="D348" t="str">
        <f>"003105100050000"</f>
        <v>003105100050000</v>
      </c>
      <c r="G348">
        <v>5.5</v>
      </c>
      <c r="I348" t="str">
        <f t="shared" si="116"/>
        <v>每牙</v>
      </c>
      <c r="K348" t="str">
        <f>"BLXFTCC"</f>
        <v>BLXFTCC</v>
      </c>
      <c r="L348" t="str">
        <f>"GYWTWRB"</f>
        <v>GYWTWRB</v>
      </c>
      <c r="M348">
        <v>5.5</v>
      </c>
      <c r="N348">
        <v>310510005</v>
      </c>
      <c r="O348" t="str">
        <f t="shared" si="112"/>
        <v>每牙</v>
      </c>
      <c r="P348" t="str">
        <f t="shared" si="114"/>
        <v>治疗费</v>
      </c>
    </row>
    <row r="349" spans="1:16">
      <c r="A349" t="str">
        <f>"牙开窗助萌术"</f>
        <v>牙开窗助萌术</v>
      </c>
      <c r="B349">
        <v>310510006</v>
      </c>
      <c r="C349" t="str">
        <f t="shared" si="115"/>
        <v>其他</v>
      </c>
      <c r="D349" t="str">
        <f>"003105100060000"</f>
        <v>003105100060000</v>
      </c>
      <c r="G349">
        <v>36</v>
      </c>
      <c r="I349" t="str">
        <f t="shared" si="116"/>
        <v>每牙</v>
      </c>
      <c r="K349" t="str">
        <f>"YKCZMS"</f>
        <v>YKCZMS</v>
      </c>
      <c r="L349" t="str">
        <f>"AGPEAS"</f>
        <v>AGPEAS</v>
      </c>
      <c r="M349">
        <v>36</v>
      </c>
      <c r="N349">
        <v>310510006</v>
      </c>
      <c r="O349" t="str">
        <f t="shared" si="112"/>
        <v>每牙</v>
      </c>
      <c r="P349" t="str">
        <f t="shared" si="114"/>
        <v>治疗费</v>
      </c>
    </row>
    <row r="350" spans="1:16">
      <c r="A350" t="str">
        <f>"口腔局部止血"</f>
        <v>口腔局部止血</v>
      </c>
      <c r="B350">
        <v>310510007</v>
      </c>
      <c r="C350" t="str">
        <f t="shared" si="115"/>
        <v>其他</v>
      </c>
      <c r="D350" t="str">
        <f>"003105100070000"</f>
        <v>003105100070000</v>
      </c>
      <c r="G350">
        <v>12</v>
      </c>
      <c r="I350" t="str">
        <f t="shared" si="116"/>
        <v>每牙</v>
      </c>
      <c r="K350" t="str">
        <f>"KQJBZX"</f>
        <v>KQJBZX</v>
      </c>
      <c r="L350" t="str">
        <f>"KENUHT"</f>
        <v>KENUHT</v>
      </c>
      <c r="M350">
        <v>12</v>
      </c>
      <c r="N350">
        <v>310510007</v>
      </c>
      <c r="O350" t="str">
        <f t="shared" si="112"/>
        <v>每牙</v>
      </c>
      <c r="P350" t="str">
        <f t="shared" si="114"/>
        <v>治疗费</v>
      </c>
    </row>
    <row r="351" spans="1:16">
      <c r="A351" t="str">
        <f>"口内脓肿切开引流术"</f>
        <v>口内脓肿切开引流术</v>
      </c>
      <c r="B351">
        <v>310510009</v>
      </c>
      <c r="C351" t="str">
        <f t="shared" si="115"/>
        <v>其他</v>
      </c>
      <c r="D351" t="str">
        <f>"003105100090000"</f>
        <v>003105100090000</v>
      </c>
      <c r="G351">
        <v>11</v>
      </c>
      <c r="I351" t="str">
        <f>"例"</f>
        <v>例</v>
      </c>
      <c r="K351" t="str">
        <f>"KNNZQKYLS"</f>
        <v>KNNZQKYLS</v>
      </c>
      <c r="L351" t="str">
        <f>"KMEEAGXIS"</f>
        <v>KMEEAGXIS</v>
      </c>
      <c r="M351">
        <v>11</v>
      </c>
      <c r="N351">
        <v>310510009</v>
      </c>
      <c r="O351" t="str">
        <f>"例"</f>
        <v>例</v>
      </c>
      <c r="P351" t="str">
        <f t="shared" si="114"/>
        <v>治疗费</v>
      </c>
    </row>
    <row r="352" spans="1:16">
      <c r="A352" t="str">
        <f>"简单充填术"</f>
        <v>简单充填术</v>
      </c>
      <c r="B352">
        <v>310511001</v>
      </c>
      <c r="C352" t="str">
        <f t="shared" si="115"/>
        <v>其他</v>
      </c>
      <c r="D352" t="str">
        <f>"003105110010000"</f>
        <v>003105110010000</v>
      </c>
      <c r="G352">
        <v>14</v>
      </c>
      <c r="I352" t="str">
        <f t="shared" ref="I352:I355" si="117">"每牙"</f>
        <v>每牙</v>
      </c>
      <c r="K352" t="str">
        <f>"JDCTS"</f>
        <v>JDCTS</v>
      </c>
      <c r="L352" t="str">
        <f>"TUYFS"</f>
        <v>TUYFS</v>
      </c>
      <c r="M352">
        <v>14</v>
      </c>
      <c r="N352">
        <v>310511001</v>
      </c>
      <c r="O352" t="str">
        <f t="shared" ref="O352:O363" si="118">"每牙"</f>
        <v>每牙</v>
      </c>
      <c r="P352" t="str">
        <f t="shared" si="114"/>
        <v>治疗费</v>
      </c>
    </row>
    <row r="353" spans="1:16">
      <c r="A353" t="str">
        <f>"光固化复合树脂（3M）"</f>
        <v>光固化复合树脂（3M）</v>
      </c>
      <c r="B353" t="str">
        <f>"310511001-1-10"</f>
        <v>310511001-1-10</v>
      </c>
      <c r="C353" t="str">
        <f>"材料"</f>
        <v>材料</v>
      </c>
      <c r="D353" t="str">
        <f>"C0705011430100004864"</f>
        <v>C0705011430100004864</v>
      </c>
      <c r="G353">
        <v>21</v>
      </c>
      <c r="I353" t="str">
        <f>"注射器装，4g/支- (P60型)"</f>
        <v>注射器装，4g/支- (P60型)</v>
      </c>
      <c r="K353" t="str">
        <f>"GGHFHSZ3M"</f>
        <v>GGHFHSZ3M</v>
      </c>
      <c r="L353" t="str">
        <f>"ILWTWSE3M"</f>
        <v>ILWTWSE3M</v>
      </c>
      <c r="M353">
        <v>42</v>
      </c>
      <c r="O353" t="str">
        <f t="shared" si="118"/>
        <v>每牙</v>
      </c>
      <c r="P353" t="str">
        <f>"材料费"</f>
        <v>材料费</v>
      </c>
    </row>
    <row r="354" spans="1:16">
      <c r="A354" t="str">
        <f>"复杂充填术"</f>
        <v>复杂充填术</v>
      </c>
      <c r="B354">
        <v>310511002</v>
      </c>
      <c r="C354" t="str">
        <f t="shared" ref="C354:C357" si="119">"其他"</f>
        <v>其他</v>
      </c>
      <c r="D354" t="str">
        <f>"003105110020000"</f>
        <v>003105110020000</v>
      </c>
      <c r="G354">
        <v>22</v>
      </c>
      <c r="I354" t="str">
        <f t="shared" si="117"/>
        <v>每牙</v>
      </c>
      <c r="K354" t="str">
        <f>"FZCTS"</f>
        <v>FZCTS</v>
      </c>
      <c r="L354" t="str">
        <f>"TVYFS"</f>
        <v>TVYFS</v>
      </c>
      <c r="M354">
        <v>22</v>
      </c>
      <c r="N354">
        <v>310511002</v>
      </c>
      <c r="O354" t="str">
        <f t="shared" si="118"/>
        <v>每牙</v>
      </c>
      <c r="P354" t="str">
        <f t="shared" ref="P354:P357" si="120">"治疗费"</f>
        <v>治疗费</v>
      </c>
    </row>
    <row r="355" spans="1:16">
      <c r="A355" t="str">
        <f>"后牙树脂充填修复术"</f>
        <v>后牙树脂充填修复术</v>
      </c>
      <c r="B355" t="str">
        <f>"310511002-b"</f>
        <v>310511002-b</v>
      </c>
      <c r="C355" t="str">
        <f>"治疗"</f>
        <v>治疗</v>
      </c>
      <c r="D355" t="str">
        <f>"003105110020000"</f>
        <v>003105110020000</v>
      </c>
      <c r="G355">
        <v>275</v>
      </c>
      <c r="I355" t="str">
        <f t="shared" si="117"/>
        <v>每牙</v>
      </c>
      <c r="K355" t="str">
        <f>"HYSZCTXFS"</f>
        <v>HYSZCTXFS</v>
      </c>
      <c r="L355" t="str">
        <f>"RASEYFWTS"</f>
        <v>RASEYFWTS</v>
      </c>
      <c r="M355">
        <v>275</v>
      </c>
      <c r="O355" t="str">
        <f t="shared" si="118"/>
        <v>每牙</v>
      </c>
      <c r="P355" t="str">
        <f t="shared" si="120"/>
        <v>治疗费</v>
      </c>
    </row>
    <row r="356" spans="1:16">
      <c r="A356" t="str">
        <f>"牙体桩钉固位修复术"</f>
        <v>牙体桩钉固位修复术</v>
      </c>
      <c r="B356">
        <v>310511003</v>
      </c>
      <c r="C356" t="str">
        <f t="shared" si="119"/>
        <v>其他</v>
      </c>
      <c r="D356" t="str">
        <f>"003105110030000"</f>
        <v>003105110030000</v>
      </c>
      <c r="G356">
        <v>22</v>
      </c>
      <c r="I356" t="str">
        <f>"-"</f>
        <v>-</v>
      </c>
      <c r="K356" t="str">
        <f>"YTZDGWXFS"</f>
        <v>YTZDGWXFS</v>
      </c>
      <c r="L356" t="str">
        <f>"AWSQLWWTS"</f>
        <v>AWSQLWWTS</v>
      </c>
      <c r="M356">
        <v>22</v>
      </c>
      <c r="N356">
        <v>310511003</v>
      </c>
      <c r="O356" t="str">
        <f t="shared" si="118"/>
        <v>每牙</v>
      </c>
      <c r="P356" t="str">
        <f t="shared" si="120"/>
        <v>治疗费</v>
      </c>
    </row>
    <row r="357" spans="1:16">
      <c r="A357" t="str">
        <f>"牙体缺损粘接修复术"</f>
        <v>牙体缺损粘接修复术</v>
      </c>
      <c r="B357">
        <v>310511004</v>
      </c>
      <c r="C357" t="str">
        <f t="shared" si="119"/>
        <v>其他</v>
      </c>
      <c r="D357" t="str">
        <f>"003105110040000"</f>
        <v>003105110040000</v>
      </c>
      <c r="G357">
        <v>24</v>
      </c>
      <c r="I357" t="str">
        <f t="shared" ref="I357:I363" si="121">"每牙"</f>
        <v>每牙</v>
      </c>
      <c r="K357" t="str">
        <f>"YTQSZJXFS"</f>
        <v>YTQSZJXFS</v>
      </c>
      <c r="L357" t="str">
        <f>"AWRRORWTS"</f>
        <v>AWRRORWTS</v>
      </c>
      <c r="M357">
        <v>24</v>
      </c>
      <c r="N357">
        <v>310511004</v>
      </c>
      <c r="O357" t="str">
        <f t="shared" si="118"/>
        <v>每牙</v>
      </c>
      <c r="P357" t="str">
        <f t="shared" si="120"/>
        <v>治疗费</v>
      </c>
    </row>
    <row r="358" spans="1:16">
      <c r="A358" t="str">
        <f>"光固化复合树脂"</f>
        <v>光固化复合树脂</v>
      </c>
      <c r="B358" t="str">
        <f>"310511004-1-18"</f>
        <v>310511004-1-18</v>
      </c>
      <c r="C358" t="str">
        <f>"材料"</f>
        <v>材料</v>
      </c>
      <c r="D358" t="str">
        <f>"C0705011430100004864"</f>
        <v>C0705011430100004864</v>
      </c>
      <c r="G358">
        <v>21</v>
      </c>
      <c r="I358" t="str">
        <f>"注射器装 4g/支"</f>
        <v>注射器装 4g/支</v>
      </c>
      <c r="K358" t="str">
        <f>"GGHFHSZ"</f>
        <v>GGHFHSZ</v>
      </c>
      <c r="L358" t="str">
        <f>"ILWTWSE"</f>
        <v>ILWTWSE</v>
      </c>
      <c r="M358">
        <v>42</v>
      </c>
      <c r="O358" t="str">
        <f t="shared" si="118"/>
        <v>每牙</v>
      </c>
      <c r="P358" t="str">
        <f>"材料费"</f>
        <v>材料费</v>
      </c>
    </row>
    <row r="359" spans="1:16">
      <c r="A359" t="str">
        <f>"充填体抛光术"</f>
        <v>充填体抛光术</v>
      </c>
      <c r="B359">
        <v>310511005</v>
      </c>
      <c r="C359" t="str">
        <f t="shared" ref="C359:C367" si="122">"其他"</f>
        <v>其他</v>
      </c>
      <c r="D359" t="str">
        <f>"003105110050000"</f>
        <v>003105110050000</v>
      </c>
      <c r="G359" t="str">
        <f>"0.6"</f>
        <v>0.6</v>
      </c>
      <c r="I359" t="str">
        <f>"-"</f>
        <v>-</v>
      </c>
      <c r="K359" t="str">
        <f>"CTTPGS"</f>
        <v>CTTPGS</v>
      </c>
      <c r="L359" t="str">
        <f>"YFWRIS"</f>
        <v>YFWRIS</v>
      </c>
      <c r="M359" t="str">
        <f>"0.6"</f>
        <v>0.6</v>
      </c>
      <c r="N359">
        <v>310511005</v>
      </c>
      <c r="O359" t="str">
        <f t="shared" si="118"/>
        <v>每牙</v>
      </c>
      <c r="P359" t="str">
        <f t="shared" ref="P359:P370" si="123">"治疗费"</f>
        <v>治疗费</v>
      </c>
    </row>
    <row r="360" spans="1:16">
      <c r="A360" t="str">
        <f>"盖髓术"</f>
        <v>盖髓术</v>
      </c>
      <c r="B360">
        <v>310511011</v>
      </c>
      <c r="C360" t="str">
        <f t="shared" si="122"/>
        <v>其他</v>
      </c>
      <c r="D360" t="str">
        <f>"003105110110000"</f>
        <v>003105110110000</v>
      </c>
      <c r="G360">
        <v>5.4</v>
      </c>
      <c r="I360" t="str">
        <f t="shared" si="121"/>
        <v>每牙</v>
      </c>
      <c r="K360" t="str">
        <f>"GSS"</f>
        <v>GSS</v>
      </c>
      <c r="L360" t="str">
        <f>"UMS"</f>
        <v>UMS</v>
      </c>
      <c r="M360">
        <v>5.4</v>
      </c>
      <c r="N360">
        <v>310511011</v>
      </c>
      <c r="O360" t="str">
        <f t="shared" si="118"/>
        <v>每牙</v>
      </c>
      <c r="P360" t="str">
        <f t="shared" si="123"/>
        <v>治疗费</v>
      </c>
    </row>
    <row r="361" spans="1:16">
      <c r="A361" t="str">
        <f>"牙髓失活术"</f>
        <v>牙髓失活术</v>
      </c>
      <c r="B361">
        <v>310511012</v>
      </c>
      <c r="C361" t="str">
        <f t="shared" si="122"/>
        <v>其他</v>
      </c>
      <c r="D361" t="str">
        <f>"003105110120000"</f>
        <v>003105110120000</v>
      </c>
      <c r="G361">
        <v>24</v>
      </c>
      <c r="I361" t="str">
        <f t="shared" si="121"/>
        <v>每牙</v>
      </c>
      <c r="K361" t="str">
        <f>"YSSHS"</f>
        <v>YSSHS</v>
      </c>
      <c r="L361" t="str">
        <f>"AMRIS"</f>
        <v>AMRIS</v>
      </c>
      <c r="M361">
        <v>24</v>
      </c>
      <c r="N361">
        <v>310511012</v>
      </c>
      <c r="O361" t="str">
        <f t="shared" si="118"/>
        <v>每牙</v>
      </c>
      <c r="P361" t="str">
        <f t="shared" si="123"/>
        <v>治疗费</v>
      </c>
    </row>
    <row r="362" spans="1:16">
      <c r="A362" t="str">
        <f>"开髓引流术"</f>
        <v>开髓引流术</v>
      </c>
      <c r="B362">
        <v>310511013</v>
      </c>
      <c r="C362" t="str">
        <f t="shared" si="122"/>
        <v>其他</v>
      </c>
      <c r="D362" t="str">
        <f>"003105110130000"</f>
        <v>003105110130000</v>
      </c>
      <c r="G362">
        <v>24</v>
      </c>
      <c r="I362" t="str">
        <f t="shared" si="121"/>
        <v>每牙</v>
      </c>
      <c r="K362" t="str">
        <f>"KSYLS"</f>
        <v>KSYLS</v>
      </c>
      <c r="L362" t="str">
        <f>"GMXIS"</f>
        <v>GMXIS</v>
      </c>
      <c r="M362">
        <v>24</v>
      </c>
      <c r="N362">
        <v>310511013</v>
      </c>
      <c r="O362" t="str">
        <f t="shared" si="118"/>
        <v>每牙</v>
      </c>
      <c r="P362" t="str">
        <f t="shared" si="123"/>
        <v>治疗费</v>
      </c>
    </row>
    <row r="363" spans="1:16">
      <c r="A363" t="str">
        <f>"干髓术"</f>
        <v>干髓术</v>
      </c>
      <c r="B363">
        <v>310511014</v>
      </c>
      <c r="C363" t="str">
        <f t="shared" si="122"/>
        <v>其他</v>
      </c>
      <c r="D363" t="str">
        <f>"003105110140000"</f>
        <v>003105110140000</v>
      </c>
      <c r="G363">
        <v>12</v>
      </c>
      <c r="I363" t="str">
        <f t="shared" si="121"/>
        <v>每牙</v>
      </c>
      <c r="K363" t="str">
        <f>"GSS"</f>
        <v>GSS</v>
      </c>
      <c r="L363" t="str">
        <f>"FMS"</f>
        <v>FMS</v>
      </c>
      <c r="M363">
        <v>12</v>
      </c>
      <c r="N363">
        <v>310511014</v>
      </c>
      <c r="O363" t="str">
        <f t="shared" si="118"/>
        <v>每牙</v>
      </c>
      <c r="P363" t="str">
        <f t="shared" si="123"/>
        <v>治疗费</v>
      </c>
    </row>
    <row r="364" spans="1:16">
      <c r="A364" t="str">
        <f>"牙髓摘除术"</f>
        <v>牙髓摘除术</v>
      </c>
      <c r="B364">
        <v>310511015</v>
      </c>
      <c r="C364" t="str">
        <f t="shared" si="122"/>
        <v>其他</v>
      </c>
      <c r="D364" t="str">
        <f>"003105110150000"</f>
        <v>003105110150000</v>
      </c>
      <c r="G364">
        <v>12</v>
      </c>
      <c r="I364" t="str">
        <f t="shared" ref="I364:I367" si="124">"每根管"</f>
        <v>每根管</v>
      </c>
      <c r="K364" t="str">
        <f>"YSZCS"</f>
        <v>YSZCS</v>
      </c>
      <c r="L364" t="str">
        <f>"AMRBS"</f>
        <v>AMRBS</v>
      </c>
      <c r="M364">
        <v>12</v>
      </c>
      <c r="N364">
        <v>310511015</v>
      </c>
      <c r="O364" t="str">
        <f t="shared" ref="O364:O369" si="125">"每根管"</f>
        <v>每根管</v>
      </c>
      <c r="P364" t="str">
        <f t="shared" si="123"/>
        <v>治疗费</v>
      </c>
    </row>
    <row r="365" spans="1:16">
      <c r="A365" t="str">
        <f>"根管预备"</f>
        <v>根管预备</v>
      </c>
      <c r="B365">
        <v>310511016</v>
      </c>
      <c r="C365" t="str">
        <f t="shared" si="122"/>
        <v>其他</v>
      </c>
      <c r="D365" t="str">
        <f>"003105110160000"</f>
        <v>003105110160000</v>
      </c>
      <c r="G365">
        <v>30</v>
      </c>
      <c r="I365" t="str">
        <f t="shared" si="124"/>
        <v>每根管</v>
      </c>
      <c r="K365" t="str">
        <f>"GGYB"</f>
        <v>GGYB</v>
      </c>
      <c r="L365" t="str">
        <f>"STCT"</f>
        <v>STCT</v>
      </c>
      <c r="M365">
        <v>30</v>
      </c>
      <c r="N365">
        <v>310511016</v>
      </c>
      <c r="O365" t="str">
        <f t="shared" si="125"/>
        <v>每根管</v>
      </c>
      <c r="P365" t="str">
        <f t="shared" si="123"/>
        <v>治疗费</v>
      </c>
    </row>
    <row r="366" spans="1:16">
      <c r="A366" t="str">
        <f>"根管充填术"</f>
        <v>根管充填术</v>
      </c>
      <c r="B366">
        <v>310511017</v>
      </c>
      <c r="C366" t="str">
        <f t="shared" si="122"/>
        <v>其他</v>
      </c>
      <c r="D366" t="str">
        <f>"003105110170000"</f>
        <v>003105110170000</v>
      </c>
      <c r="G366">
        <v>30</v>
      </c>
      <c r="I366" t="str">
        <f t="shared" si="124"/>
        <v>每根管</v>
      </c>
      <c r="K366" t="str">
        <f>"GGCTS"</f>
        <v>GGCTS</v>
      </c>
      <c r="L366" t="str">
        <f>"STYFS"</f>
        <v>STYFS</v>
      </c>
      <c r="M366">
        <v>30</v>
      </c>
      <c r="N366">
        <v>310511017</v>
      </c>
      <c r="O366" t="str">
        <f t="shared" si="125"/>
        <v>每根管</v>
      </c>
      <c r="P366" t="str">
        <f t="shared" si="123"/>
        <v>治疗费</v>
      </c>
    </row>
    <row r="367" spans="1:16">
      <c r="A367" t="str">
        <f>"髓腔消毒术"</f>
        <v>髓腔消毒术</v>
      </c>
      <c r="B367">
        <v>310511019</v>
      </c>
      <c r="C367" t="str">
        <f t="shared" si="122"/>
        <v>其他</v>
      </c>
      <c r="D367" t="str">
        <f>"003105110190000"</f>
        <v>003105110190000</v>
      </c>
      <c r="G367">
        <v>12</v>
      </c>
      <c r="I367" t="str">
        <f t="shared" si="124"/>
        <v>每根管</v>
      </c>
      <c r="K367" t="str">
        <f>"SQXDS"</f>
        <v>SQXDS</v>
      </c>
      <c r="L367" t="str">
        <f>"MEIGS"</f>
        <v>MEIGS</v>
      </c>
      <c r="M367">
        <v>12</v>
      </c>
      <c r="N367">
        <v>310511019</v>
      </c>
      <c r="O367" t="str">
        <f t="shared" si="125"/>
        <v>每根管</v>
      </c>
      <c r="P367" t="str">
        <f t="shared" si="123"/>
        <v>治疗费</v>
      </c>
    </row>
    <row r="368" spans="1:16">
      <c r="A368" t="str">
        <f>"根管消毒术"</f>
        <v>根管消毒术</v>
      </c>
      <c r="B368" t="str">
        <f>"310511019-1"</f>
        <v>310511019-1</v>
      </c>
      <c r="C368" t="str">
        <f>"治疗"</f>
        <v>治疗</v>
      </c>
      <c r="D368" t="str">
        <f>"003105110190000"</f>
        <v>003105110190000</v>
      </c>
      <c r="G368">
        <v>12</v>
      </c>
      <c r="I368" t="str">
        <f>"次"</f>
        <v>次</v>
      </c>
      <c r="K368" t="str">
        <f>"GGXDS"</f>
        <v>GGXDS</v>
      </c>
      <c r="L368" t="str">
        <f>"STIGS"</f>
        <v>STIGS</v>
      </c>
      <c r="M368">
        <v>12</v>
      </c>
      <c r="N368">
        <v>310511019</v>
      </c>
      <c r="O368" t="str">
        <f t="shared" si="125"/>
        <v>每根管</v>
      </c>
      <c r="P368" t="str">
        <f t="shared" si="123"/>
        <v>治疗费</v>
      </c>
    </row>
    <row r="369" spans="1:16">
      <c r="A369" t="str">
        <f>"根管再治疗术"</f>
        <v>根管再治疗术</v>
      </c>
      <c r="B369">
        <v>310511021</v>
      </c>
      <c r="C369" t="str">
        <f t="shared" ref="C369:C393" si="126">"其他"</f>
        <v>其他</v>
      </c>
      <c r="D369" t="str">
        <f>"003105110210000"</f>
        <v>003105110210000</v>
      </c>
      <c r="G369">
        <v>40</v>
      </c>
      <c r="I369" t="str">
        <f>"每根管"</f>
        <v>每根管</v>
      </c>
      <c r="K369" t="str">
        <f>"GGZZLS"</f>
        <v>GGZZLS</v>
      </c>
      <c r="L369" t="str">
        <f>"STGIUS"</f>
        <v>STGIUS</v>
      </c>
      <c r="M369">
        <v>40</v>
      </c>
      <c r="N369">
        <v>310511021</v>
      </c>
      <c r="O369" t="str">
        <f t="shared" si="125"/>
        <v>每根管</v>
      </c>
      <c r="P369" t="str">
        <f t="shared" si="123"/>
        <v>治疗费</v>
      </c>
    </row>
    <row r="370" spans="1:16">
      <c r="A370" t="str">
        <f>"根管扩通术"</f>
        <v>根管扩通术</v>
      </c>
      <c r="B370" t="str">
        <f>"310511021-2"</f>
        <v>310511021-2</v>
      </c>
      <c r="C370" t="str">
        <f>"治疗"</f>
        <v>治疗</v>
      </c>
      <c r="D370" t="str">
        <f>"003105110210000"</f>
        <v>003105110210000</v>
      </c>
      <c r="G370">
        <v>40</v>
      </c>
      <c r="I370" t="str">
        <f>"项"</f>
        <v>项</v>
      </c>
      <c r="K370" t="str">
        <f>"GGKTS"</f>
        <v>GGKTS</v>
      </c>
      <c r="L370" t="str">
        <f>"STRCS"</f>
        <v>STRCS</v>
      </c>
      <c r="M370">
        <v>40</v>
      </c>
      <c r="N370">
        <v>310511021</v>
      </c>
      <c r="O370" t="str">
        <f>"项"</f>
        <v>项</v>
      </c>
      <c r="P370" t="str">
        <f t="shared" si="123"/>
        <v>治疗费</v>
      </c>
    </row>
    <row r="371" spans="1:16">
      <c r="A371" t="str">
        <f>"纤维根管桩修复系统"</f>
        <v>纤维根管桩修复系统</v>
      </c>
      <c r="B371" t="str">
        <f>"310511022-1-3"</f>
        <v>310511022-1-3</v>
      </c>
      <c r="C371" t="str">
        <f>"材料"</f>
        <v>材料</v>
      </c>
      <c r="D371" t="str">
        <f>"C0709031440200004864"</f>
        <v>C0709031440200004864</v>
      </c>
      <c r="G371">
        <v>100</v>
      </c>
      <c r="I371" t="str">
        <f>"15个纤维根管桩"</f>
        <v>15个纤维根管桩</v>
      </c>
      <c r="K371" t="str">
        <f>"XWGGZXFXT"</f>
        <v>XWGGZXFXT</v>
      </c>
      <c r="L371" t="str">
        <f>"XXSTSWTTX"</f>
        <v>XXSTSWTTX</v>
      </c>
      <c r="M371">
        <v>2040</v>
      </c>
      <c r="O371" t="str">
        <f>"支"</f>
        <v>支</v>
      </c>
      <c r="P371" t="str">
        <f>"材料费"</f>
        <v>材料费</v>
      </c>
    </row>
    <row r="372" spans="1:16">
      <c r="A372" t="str">
        <f>"窝沟封闭"</f>
        <v>窝沟封闭</v>
      </c>
      <c r="B372">
        <v>310512002</v>
      </c>
      <c r="C372" t="str">
        <f t="shared" si="126"/>
        <v>其他</v>
      </c>
      <c r="D372" t="str">
        <f>"003105120020000"</f>
        <v>003105120020000</v>
      </c>
      <c r="G372">
        <v>24</v>
      </c>
      <c r="I372" t="str">
        <f t="shared" ref="I372:I376" si="127">"每牙"</f>
        <v>每牙</v>
      </c>
      <c r="K372" t="str">
        <f>"WGFB"</f>
        <v>WGFB</v>
      </c>
      <c r="L372" t="str">
        <f>"PIFU"</f>
        <v>PIFU</v>
      </c>
      <c r="M372">
        <v>24</v>
      </c>
      <c r="N372">
        <v>310512002</v>
      </c>
      <c r="O372" t="str">
        <f t="shared" ref="O372:O380" si="128">"每牙"</f>
        <v>每牙</v>
      </c>
      <c r="P372" t="str">
        <f t="shared" ref="P372:P400" si="129">"治疗费"</f>
        <v>治疗费</v>
      </c>
    </row>
    <row r="373" spans="1:16">
      <c r="A373" t="str">
        <f>"乳牙预成冠修复"</f>
        <v>乳牙预成冠修复</v>
      </c>
      <c r="B373">
        <v>310512003</v>
      </c>
      <c r="C373" t="str">
        <f t="shared" si="126"/>
        <v>其他</v>
      </c>
      <c r="D373" t="str">
        <f>"003105120030000"</f>
        <v>003105120030000</v>
      </c>
      <c r="G373">
        <v>84</v>
      </c>
      <c r="I373" t="str">
        <f t="shared" ref="I373:I378" si="130">"-"</f>
        <v>-</v>
      </c>
      <c r="K373" t="str">
        <f>"RYYCGXF"</f>
        <v>RYYCGXF</v>
      </c>
      <c r="L373" t="str">
        <f>"EACDPWT"</f>
        <v>EACDPWT</v>
      </c>
      <c r="M373">
        <v>84</v>
      </c>
      <c r="N373">
        <v>310512003</v>
      </c>
      <c r="O373" t="str">
        <f t="shared" si="128"/>
        <v>每牙</v>
      </c>
      <c r="P373" t="str">
        <f t="shared" si="129"/>
        <v>治疗费</v>
      </c>
    </row>
    <row r="374" spans="1:16">
      <c r="A374" t="str">
        <f>"儿童前牙树脂冠修复"</f>
        <v>儿童前牙树脂冠修复</v>
      </c>
      <c r="B374">
        <v>310512004</v>
      </c>
      <c r="C374" t="str">
        <f t="shared" si="126"/>
        <v>其他</v>
      </c>
      <c r="D374" t="str">
        <f>"003105120040000"</f>
        <v>003105120040000</v>
      </c>
      <c r="G374">
        <v>11</v>
      </c>
      <c r="I374" t="str">
        <f t="shared" si="130"/>
        <v>-</v>
      </c>
      <c r="K374" t="str">
        <f>"ETQYSZGXF"</f>
        <v>ETQYSZGXF</v>
      </c>
      <c r="L374" t="str">
        <f>"QUUASEPWT"</f>
        <v>QUUASEPWT</v>
      </c>
      <c r="M374">
        <v>11</v>
      </c>
      <c r="N374">
        <v>310512004</v>
      </c>
      <c r="O374" t="str">
        <f t="shared" si="128"/>
        <v>每牙</v>
      </c>
      <c r="P374" t="str">
        <f t="shared" si="129"/>
        <v>治疗费</v>
      </c>
    </row>
    <row r="375" spans="1:16">
      <c r="A375" t="str">
        <f>"洁治"</f>
        <v>洁治</v>
      </c>
      <c r="B375">
        <v>310513001</v>
      </c>
      <c r="C375" t="str">
        <f t="shared" si="126"/>
        <v>其他</v>
      </c>
      <c r="D375" t="str">
        <f>"003105130010000"</f>
        <v>003105130010000</v>
      </c>
      <c r="G375">
        <v>2.7</v>
      </c>
      <c r="I375" t="str">
        <f t="shared" si="127"/>
        <v>每牙</v>
      </c>
      <c r="K375" t="str">
        <f>"JZ"</f>
        <v>JZ</v>
      </c>
      <c r="L375" t="str">
        <f>"II"</f>
        <v>II</v>
      </c>
      <c r="M375">
        <v>2.7</v>
      </c>
      <c r="N375">
        <v>310513001</v>
      </c>
      <c r="O375" t="str">
        <f t="shared" si="128"/>
        <v>每牙</v>
      </c>
      <c r="P375" t="str">
        <f t="shared" si="129"/>
        <v>治疗费</v>
      </c>
    </row>
    <row r="376" spans="1:16">
      <c r="A376" t="str">
        <f>"龈下刮治"</f>
        <v>龈下刮治</v>
      </c>
      <c r="B376">
        <v>310513002</v>
      </c>
      <c r="C376" t="str">
        <f t="shared" si="126"/>
        <v>其他</v>
      </c>
      <c r="D376" t="str">
        <f>"003105130020000"</f>
        <v>003105130020000</v>
      </c>
      <c r="G376">
        <v>3.6</v>
      </c>
      <c r="I376" t="str">
        <f t="shared" si="127"/>
        <v>每牙</v>
      </c>
      <c r="K376" t="str">
        <f>"YXGZ"</f>
        <v>YXGZ</v>
      </c>
      <c r="L376" t="str">
        <f>"HGTI"</f>
        <v>HGTI</v>
      </c>
      <c r="M376">
        <v>3.6</v>
      </c>
      <c r="N376">
        <v>310513002</v>
      </c>
      <c r="O376" t="str">
        <f t="shared" si="128"/>
        <v>每牙</v>
      </c>
      <c r="P376" t="str">
        <f t="shared" si="129"/>
        <v>治疗费</v>
      </c>
    </row>
    <row r="377" spans="1:16">
      <c r="A377" t="str">
        <f>"牙周固定"</f>
        <v>牙周固定</v>
      </c>
      <c r="B377">
        <v>310513003</v>
      </c>
      <c r="C377" t="str">
        <f t="shared" si="126"/>
        <v>其他</v>
      </c>
      <c r="D377" t="str">
        <f>"003105130030000"</f>
        <v>003105130030000</v>
      </c>
      <c r="G377">
        <v>7.2</v>
      </c>
      <c r="I377" t="str">
        <f t="shared" si="130"/>
        <v>-</v>
      </c>
      <c r="K377" t="str">
        <f>"YZGD"</f>
        <v>YZGD</v>
      </c>
      <c r="L377" t="str">
        <f>"AMLP"</f>
        <v>AMLP</v>
      </c>
      <c r="M377">
        <v>7.2</v>
      </c>
      <c r="N377">
        <v>310513003</v>
      </c>
      <c r="O377" t="str">
        <f t="shared" si="128"/>
        <v>每牙</v>
      </c>
      <c r="P377" t="str">
        <f t="shared" si="129"/>
        <v>治疗费</v>
      </c>
    </row>
    <row r="378" spans="1:16">
      <c r="A378" t="str">
        <f>"牙面光洁术"</f>
        <v>牙面光洁术</v>
      </c>
      <c r="B378">
        <v>310513005</v>
      </c>
      <c r="C378" t="str">
        <f t="shared" si="126"/>
        <v>其他</v>
      </c>
      <c r="D378" t="str">
        <f>"003105130050000"</f>
        <v>003105130050000</v>
      </c>
      <c r="G378">
        <v>1.2</v>
      </c>
      <c r="I378" t="str">
        <f t="shared" si="130"/>
        <v>-</v>
      </c>
      <c r="K378" t="str">
        <f>"YMGJS"</f>
        <v>YMGJS</v>
      </c>
      <c r="L378" t="str">
        <f>"ADIIS"</f>
        <v>ADIIS</v>
      </c>
      <c r="M378">
        <v>1.2</v>
      </c>
      <c r="N378">
        <v>310513005</v>
      </c>
      <c r="O378" t="str">
        <f t="shared" si="128"/>
        <v>每牙</v>
      </c>
      <c r="P378" t="str">
        <f t="shared" si="129"/>
        <v>治疗费</v>
      </c>
    </row>
    <row r="379" spans="1:16">
      <c r="A379" t="str">
        <f>"根面平整术"</f>
        <v>根面平整术</v>
      </c>
      <c r="B379">
        <v>310513008</v>
      </c>
      <c r="C379" t="str">
        <f t="shared" si="126"/>
        <v>其他</v>
      </c>
      <c r="D379" t="str">
        <f>"003105130080000"</f>
        <v>003105130080000</v>
      </c>
      <c r="G379">
        <v>8.4</v>
      </c>
      <c r="I379" t="str">
        <f>"每牙"</f>
        <v>每牙</v>
      </c>
      <c r="K379" t="str">
        <f>"GMPZS"</f>
        <v>GMPZS</v>
      </c>
      <c r="L379" t="str">
        <f>"SDGGS"</f>
        <v>SDGGS</v>
      </c>
      <c r="M379">
        <v>8.4</v>
      </c>
      <c r="N379">
        <v>310513008</v>
      </c>
      <c r="O379" t="str">
        <f t="shared" si="128"/>
        <v>每牙</v>
      </c>
      <c r="P379" t="str">
        <f t="shared" si="129"/>
        <v>治疗费</v>
      </c>
    </row>
    <row r="380" spans="1:16">
      <c r="A380" t="str">
        <f>"根面平整术(超声根面平整)"</f>
        <v>根面平整术(超声根面平整)</v>
      </c>
      <c r="B380" t="str">
        <f>"310513008-a"</f>
        <v>310513008-a</v>
      </c>
      <c r="C380" t="str">
        <f t="shared" si="126"/>
        <v>其他</v>
      </c>
      <c r="D380" t="str">
        <f>"003105130080000"</f>
        <v>003105130080000</v>
      </c>
      <c r="G380">
        <v>13</v>
      </c>
      <c r="I380" t="str">
        <f>"-"</f>
        <v>-</v>
      </c>
      <c r="K380" t="str">
        <f>"GMPZSCSGMP"</f>
        <v>GMPZSCSGMP</v>
      </c>
      <c r="L380" t="str">
        <f>"SDGGSFFSDG"</f>
        <v>SDGGSFFSDG</v>
      </c>
      <c r="M380">
        <v>13</v>
      </c>
      <c r="N380" t="str">
        <f>"310513008-a"</f>
        <v>310513008-a</v>
      </c>
      <c r="O380" t="str">
        <f t="shared" si="128"/>
        <v>每牙</v>
      </c>
      <c r="P380" t="str">
        <f t="shared" si="129"/>
        <v>治疗费</v>
      </c>
    </row>
    <row r="381" spans="1:16">
      <c r="A381" t="str">
        <f>"颞下颌关节复位术"</f>
        <v>颞下颌关节复位术</v>
      </c>
      <c r="B381">
        <v>310515001</v>
      </c>
      <c r="C381" t="str">
        <f t="shared" si="126"/>
        <v>其他</v>
      </c>
      <c r="D381" t="str">
        <f>"003105150010000"</f>
        <v>003105150010000</v>
      </c>
      <c r="G381">
        <v>42</v>
      </c>
      <c r="I381">
        <v>1</v>
      </c>
      <c r="K381" t="str">
        <f>"NXHGJFWS"</f>
        <v>NXHGJFWS</v>
      </c>
      <c r="L381" t="str">
        <f>"BGWUATWS"</f>
        <v>BGWUATWS</v>
      </c>
      <c r="M381">
        <v>42</v>
      </c>
      <c r="N381">
        <v>310515001</v>
      </c>
      <c r="O381" t="str">
        <f>"每次"</f>
        <v>每次</v>
      </c>
      <c r="P381" t="str">
        <f t="shared" si="129"/>
        <v>治疗费</v>
      </c>
    </row>
    <row r="382" spans="1:16">
      <c r="A382" t="str">
        <f>"冠周炎局部治疗"</f>
        <v>冠周炎局部治疗</v>
      </c>
      <c r="B382">
        <v>310515002</v>
      </c>
      <c r="C382" t="str">
        <f t="shared" si="126"/>
        <v>其他</v>
      </c>
      <c r="D382" t="str">
        <f>"003105150020000"</f>
        <v>003105150020000</v>
      </c>
      <c r="G382">
        <v>10</v>
      </c>
      <c r="I382" t="str">
        <f>"次"</f>
        <v>次</v>
      </c>
      <c r="K382" t="str">
        <f>"GZYJBZL"</f>
        <v>GZYJBZL</v>
      </c>
      <c r="L382" t="str">
        <f>"PMONUIU"</f>
        <v>PMONUIU</v>
      </c>
      <c r="M382">
        <v>10</v>
      </c>
      <c r="N382">
        <v>310515002</v>
      </c>
      <c r="O382" t="str">
        <f>"次"</f>
        <v>次</v>
      </c>
      <c r="P382" t="str">
        <f t="shared" si="129"/>
        <v>治疗费</v>
      </c>
    </row>
    <row r="383" spans="1:16">
      <c r="A383" t="str">
        <f>"干槽症换药"</f>
        <v>干槽症换药</v>
      </c>
      <c r="B383">
        <v>310515003</v>
      </c>
      <c r="C383" t="str">
        <f t="shared" si="126"/>
        <v>其他</v>
      </c>
      <c r="D383" t="str">
        <f>"003105150030000"</f>
        <v>003105150030000</v>
      </c>
      <c r="G383">
        <v>17</v>
      </c>
      <c r="I383" t="str">
        <f>"-"</f>
        <v>-</v>
      </c>
      <c r="K383" t="str">
        <f>"GCZHY"</f>
        <v>GCZHY</v>
      </c>
      <c r="L383" t="str">
        <f>"FSURA"</f>
        <v>FSURA</v>
      </c>
      <c r="M383">
        <v>17</v>
      </c>
      <c r="N383">
        <v>310515003</v>
      </c>
      <c r="O383" t="str">
        <f>"次"</f>
        <v>次</v>
      </c>
      <c r="P383" t="str">
        <f t="shared" si="129"/>
        <v>治疗费</v>
      </c>
    </row>
    <row r="384" spans="1:16">
      <c r="A384" t="str">
        <f>"调磨合(代)垫"</f>
        <v>调磨合(代)垫</v>
      </c>
      <c r="B384">
        <v>310516003</v>
      </c>
      <c r="C384" t="str">
        <f t="shared" si="126"/>
        <v>其他</v>
      </c>
      <c r="D384" t="str">
        <f>"XM00002613"</f>
        <v>XM00002613</v>
      </c>
      <c r="G384">
        <v>6</v>
      </c>
      <c r="I384">
        <v>1</v>
      </c>
      <c r="K384" t="str">
        <f>"TMH(D)D"</f>
        <v>TMH(D)D</v>
      </c>
      <c r="L384" t="str">
        <f>"YYWWR"</f>
        <v>YYWWR</v>
      </c>
      <c r="M384">
        <v>6</v>
      </c>
      <c r="N384">
        <v>310516003</v>
      </c>
      <c r="O384" t="str">
        <f>"每次"</f>
        <v>每次</v>
      </c>
      <c r="P384" t="str">
        <f t="shared" si="129"/>
        <v>治疗费</v>
      </c>
    </row>
    <row r="385" spans="1:16">
      <c r="A385" t="str">
        <f>"冠修复"</f>
        <v>冠修复</v>
      </c>
      <c r="B385">
        <v>310517001</v>
      </c>
      <c r="C385" t="str">
        <f t="shared" si="126"/>
        <v>其他</v>
      </c>
      <c r="D385" t="str">
        <f>"003105170010000"</f>
        <v>003105170010000</v>
      </c>
      <c r="G385">
        <v>96</v>
      </c>
      <c r="I385" t="str">
        <f t="shared" ref="I385:I388" si="131">"每牙"</f>
        <v>每牙</v>
      </c>
      <c r="K385" t="str">
        <f>"RYYCGXF"</f>
        <v>RYYCGXF</v>
      </c>
      <c r="L385" t="str">
        <f>"EACDPWT"</f>
        <v>EACDPWT</v>
      </c>
      <c r="M385">
        <v>96</v>
      </c>
      <c r="N385">
        <v>310517001</v>
      </c>
      <c r="O385" t="str">
        <f t="shared" ref="O385:O388" si="132">"每牙"</f>
        <v>每牙</v>
      </c>
      <c r="P385" t="str">
        <f t="shared" si="129"/>
        <v>治疗费</v>
      </c>
    </row>
    <row r="386" spans="1:16">
      <c r="A386" t="str">
        <f>"冠修复(烤塑冠、塑胶冠)"</f>
        <v>冠修复(烤塑冠、塑胶冠)</v>
      </c>
      <c r="B386" t="str">
        <f>"310517001-b"</f>
        <v>310517001-b</v>
      </c>
      <c r="C386" t="str">
        <f t="shared" si="126"/>
        <v>其他</v>
      </c>
      <c r="D386" t="str">
        <f>"003105170010000"</f>
        <v>003105170010000</v>
      </c>
      <c r="G386">
        <v>48</v>
      </c>
      <c r="I386" t="str">
        <f>"-"</f>
        <v>-</v>
      </c>
      <c r="K386" t="str">
        <f>"GXFKSGSJG"</f>
        <v>GXFKSGSJG</v>
      </c>
      <c r="L386" t="str">
        <f>"PWTOUPUEP"</f>
        <v>PWTOUPUEP</v>
      </c>
      <c r="M386">
        <v>48</v>
      </c>
      <c r="N386" t="str">
        <f>"310517001-b"</f>
        <v>310517001-b</v>
      </c>
      <c r="O386" t="str">
        <f t="shared" si="132"/>
        <v>每牙</v>
      </c>
      <c r="P386" t="str">
        <f t="shared" si="129"/>
        <v>治疗费</v>
      </c>
    </row>
    <row r="387" spans="1:16">
      <c r="A387" t="str">
        <f>"桩核根帽修复"</f>
        <v>桩核根帽修复</v>
      </c>
      <c r="B387">
        <v>310517003</v>
      </c>
      <c r="C387" t="str">
        <f t="shared" si="126"/>
        <v>其他</v>
      </c>
      <c r="D387" t="str">
        <f>"003105170030000"</f>
        <v>003105170030000</v>
      </c>
      <c r="G387">
        <v>96</v>
      </c>
      <c r="I387" t="str">
        <f t="shared" si="131"/>
        <v>每牙</v>
      </c>
      <c r="K387" t="str">
        <f>"ZHGMXF"</f>
        <v>ZHGMXF</v>
      </c>
      <c r="L387" t="str">
        <f>"SSSMWT"</f>
        <v>SSSMWT</v>
      </c>
      <c r="M387">
        <v>96</v>
      </c>
      <c r="N387">
        <v>310517003</v>
      </c>
      <c r="O387" t="str">
        <f t="shared" si="132"/>
        <v>每牙</v>
      </c>
      <c r="P387" t="str">
        <f t="shared" si="129"/>
        <v>治疗费</v>
      </c>
    </row>
    <row r="388" spans="1:16">
      <c r="A388" t="str">
        <f>"桩冠修复"</f>
        <v>桩冠修复</v>
      </c>
      <c r="B388">
        <v>310517005</v>
      </c>
      <c r="C388" t="str">
        <f t="shared" si="126"/>
        <v>其他</v>
      </c>
      <c r="D388" t="str">
        <f>"003105170050000"</f>
        <v>003105170050000</v>
      </c>
      <c r="G388">
        <v>38</v>
      </c>
      <c r="I388" t="str">
        <f t="shared" si="131"/>
        <v>每牙</v>
      </c>
      <c r="K388" t="str">
        <f>"ZGXF"</f>
        <v>ZGXF</v>
      </c>
      <c r="L388" t="str">
        <f>"SPWT"</f>
        <v>SPWT</v>
      </c>
      <c r="M388">
        <v>38</v>
      </c>
      <c r="N388">
        <v>310517005</v>
      </c>
      <c r="O388" t="str">
        <f t="shared" si="132"/>
        <v>每牙</v>
      </c>
      <c r="P388" t="str">
        <f t="shared" si="129"/>
        <v>治疗费</v>
      </c>
    </row>
    <row r="389" spans="1:16">
      <c r="A389" t="str">
        <f>"咬合重建"</f>
        <v>咬合重建</v>
      </c>
      <c r="B389">
        <v>310517008</v>
      </c>
      <c r="C389" t="str">
        <f t="shared" si="126"/>
        <v>其他</v>
      </c>
      <c r="D389" t="str">
        <f>"003105170080000"</f>
        <v>003105170080000</v>
      </c>
      <c r="G389">
        <v>96</v>
      </c>
      <c r="I389" t="str">
        <f>"次"</f>
        <v>次</v>
      </c>
      <c r="K389" t="str">
        <f>"YHCJ"</f>
        <v>YHCJ</v>
      </c>
      <c r="L389" t="str">
        <f>"KWTV"</f>
        <v>KWTV</v>
      </c>
      <c r="M389">
        <v>96</v>
      </c>
      <c r="N389">
        <v>310517008</v>
      </c>
      <c r="O389" t="str">
        <f>"次"</f>
        <v>次</v>
      </c>
      <c r="P389" t="str">
        <f t="shared" si="129"/>
        <v>治疗费</v>
      </c>
    </row>
    <row r="390" spans="1:16">
      <c r="A390" t="str">
        <f>"粘结"</f>
        <v>粘结</v>
      </c>
      <c r="B390">
        <v>310517009</v>
      </c>
      <c r="C390" t="str">
        <f t="shared" si="126"/>
        <v>其他</v>
      </c>
      <c r="D390" t="str">
        <f>"003105170090000"</f>
        <v>003105170090000</v>
      </c>
      <c r="G390">
        <v>4</v>
      </c>
      <c r="I390" t="str">
        <f>"牙"</f>
        <v>牙</v>
      </c>
      <c r="K390" t="str">
        <f>"ZJ"</f>
        <v>ZJ</v>
      </c>
      <c r="L390" t="str">
        <f>"OX"</f>
        <v>OX</v>
      </c>
      <c r="M390">
        <v>4</v>
      </c>
      <c r="N390">
        <v>310517009</v>
      </c>
      <c r="O390" t="str">
        <f t="shared" ref="O390:O395" si="133">"每牙"</f>
        <v>每牙</v>
      </c>
      <c r="P390" t="str">
        <f t="shared" si="129"/>
        <v>治疗费</v>
      </c>
    </row>
    <row r="391" spans="1:16">
      <c r="A391" t="str">
        <f>"活动桥"</f>
        <v>活动桥</v>
      </c>
      <c r="B391">
        <v>310518001</v>
      </c>
      <c r="C391" t="str">
        <f t="shared" si="126"/>
        <v>其他</v>
      </c>
      <c r="D391" t="str">
        <f>"003105180010000"</f>
        <v>003105180010000</v>
      </c>
      <c r="G391">
        <v>60</v>
      </c>
      <c r="I391" t="str">
        <f t="shared" ref="I391:I394" si="134">"每牙"</f>
        <v>每牙</v>
      </c>
      <c r="K391" t="str">
        <f>"HDQ"</f>
        <v>HDQ</v>
      </c>
      <c r="L391" t="str">
        <f>"IFS"</f>
        <v>IFS</v>
      </c>
      <c r="M391">
        <v>60</v>
      </c>
      <c r="N391">
        <v>310518001</v>
      </c>
      <c r="O391" t="str">
        <f t="shared" si="133"/>
        <v>每牙</v>
      </c>
      <c r="P391" t="str">
        <f t="shared" si="129"/>
        <v>治疗费</v>
      </c>
    </row>
    <row r="392" spans="1:16">
      <c r="A392" t="str">
        <f>"塑料可摘局部义齿"</f>
        <v>塑料可摘局部义齿</v>
      </c>
      <c r="B392">
        <v>310518002</v>
      </c>
      <c r="C392" t="str">
        <f t="shared" si="126"/>
        <v>其他</v>
      </c>
      <c r="D392" t="str">
        <f>"003105180020000"</f>
        <v>003105180020000</v>
      </c>
      <c r="G392">
        <v>96</v>
      </c>
      <c r="I392" t="str">
        <f t="shared" si="134"/>
        <v>每牙</v>
      </c>
      <c r="K392" t="str">
        <f>"SLKZJBYC"</f>
        <v>SLKZJBYC</v>
      </c>
      <c r="L392" t="str">
        <f>"UOSRNUYH"</f>
        <v>UOSRNUYH</v>
      </c>
      <c r="M392">
        <v>96</v>
      </c>
      <c r="N392">
        <v>310518002</v>
      </c>
      <c r="O392" t="str">
        <f t="shared" si="133"/>
        <v>每牙</v>
      </c>
      <c r="P392" t="str">
        <f t="shared" si="129"/>
        <v>治疗费</v>
      </c>
    </row>
    <row r="393" spans="1:16">
      <c r="A393" t="str">
        <f>"铸造可摘局部义齿"</f>
        <v>铸造可摘局部义齿</v>
      </c>
      <c r="B393">
        <v>310518003</v>
      </c>
      <c r="C393" t="str">
        <f t="shared" si="126"/>
        <v>其他</v>
      </c>
      <c r="D393" t="str">
        <f>"003105180030000"</f>
        <v>003105180030000</v>
      </c>
      <c r="G393">
        <v>240</v>
      </c>
      <c r="I393" t="str">
        <f t="shared" si="134"/>
        <v>每牙</v>
      </c>
      <c r="K393" t="str">
        <f>"ZZKZJBYC"</f>
        <v>ZZKZJBYC</v>
      </c>
      <c r="L393" t="str">
        <f>"QTSRNUYH"</f>
        <v>QTSRNUYH</v>
      </c>
      <c r="M393">
        <v>240</v>
      </c>
      <c r="N393">
        <v>310518003</v>
      </c>
      <c r="O393" t="str">
        <f t="shared" si="133"/>
        <v>每牙</v>
      </c>
      <c r="P393" t="str">
        <f t="shared" si="129"/>
        <v>治疗费</v>
      </c>
    </row>
    <row r="394" spans="1:16">
      <c r="A394" t="str">
        <f>"美容义齿(四层色美容修复总义齿)"</f>
        <v>美容义齿(四层色美容修复总义齿)</v>
      </c>
      <c r="B394">
        <v>310518004</v>
      </c>
      <c r="C394" t="str">
        <f t="shared" ref="C394:C412" si="135">"治疗"</f>
        <v>治疗</v>
      </c>
      <c r="D394" t="str">
        <f t="shared" ref="D394:D410" si="136">"003105180040000"</f>
        <v>003105180040000</v>
      </c>
      <c r="G394">
        <v>2000</v>
      </c>
      <c r="I394" t="str">
        <f t="shared" si="134"/>
        <v>每牙</v>
      </c>
      <c r="K394" t="str">
        <f>"MRYCSCSMRXFZYC"</f>
        <v>MRYCSCSMRXFZYC</v>
      </c>
      <c r="L394" t="str">
        <f>"UPYHLNQUPWTUYH"</f>
        <v>UPYHLNQUPWTUYH</v>
      </c>
      <c r="M394">
        <v>2000</v>
      </c>
      <c r="N394">
        <v>310518004</v>
      </c>
      <c r="O394" t="str">
        <f t="shared" si="133"/>
        <v>每牙</v>
      </c>
      <c r="P394" t="str">
        <f t="shared" si="129"/>
        <v>治疗费</v>
      </c>
    </row>
    <row r="395" spans="1:16">
      <c r="A395" t="str">
        <f>"美容义齿（铸瓷全冠）"</f>
        <v>美容义齿（铸瓷全冠）</v>
      </c>
      <c r="B395" t="str">
        <f>"310518004-1"</f>
        <v>310518004-1</v>
      </c>
      <c r="C395" t="str">
        <f t="shared" si="135"/>
        <v>治疗</v>
      </c>
      <c r="D395" t="str">
        <f t="shared" si="136"/>
        <v>003105180040000</v>
      </c>
      <c r="G395">
        <v>1800</v>
      </c>
      <c r="I395" t="str">
        <f t="shared" ref="I395:I399" si="137">"/"</f>
        <v>/</v>
      </c>
      <c r="K395" t="str">
        <f>"MRYCZCQG"</f>
        <v>MRYCZCQG</v>
      </c>
      <c r="L395" t="str">
        <f>"UPYHQUWP"</f>
        <v>UPYHQUWP</v>
      </c>
      <c r="M395">
        <v>1800</v>
      </c>
      <c r="N395">
        <v>310518004</v>
      </c>
      <c r="O395" t="str">
        <f t="shared" si="133"/>
        <v>每牙</v>
      </c>
      <c r="P395" t="str">
        <f t="shared" si="129"/>
        <v>治疗费</v>
      </c>
    </row>
    <row r="396" spans="1:16">
      <c r="A396" t="str">
        <f>"美容义齿（纯钛金属冠）"</f>
        <v>美容义齿（纯钛金属冠）</v>
      </c>
      <c r="B396" t="str">
        <f>"310518004-10"</f>
        <v>310518004-10</v>
      </c>
      <c r="C396" t="str">
        <f t="shared" si="135"/>
        <v>治疗</v>
      </c>
      <c r="D396" t="str">
        <f t="shared" si="136"/>
        <v>003105180040000</v>
      </c>
      <c r="G396">
        <v>900</v>
      </c>
      <c r="I396" t="str">
        <f t="shared" si="137"/>
        <v>/</v>
      </c>
      <c r="K396" t="str">
        <f>"MRYCCJSG"</f>
        <v>MRYCCJSG</v>
      </c>
      <c r="L396" t="str">
        <f>"UPYHXQQNP"</f>
        <v>UPYHXQQNP</v>
      </c>
      <c r="M396">
        <v>1000</v>
      </c>
      <c r="N396">
        <v>310518004</v>
      </c>
      <c r="O396" t="str">
        <f>"例"</f>
        <v>例</v>
      </c>
      <c r="P396" t="str">
        <f t="shared" si="129"/>
        <v>治疗费</v>
      </c>
    </row>
    <row r="397" spans="1:16">
      <c r="A397" t="str">
        <f>"美容义齿(四层色美容修复总义齿(纯钛腭板))"</f>
        <v>美容义齿(四层色美容修复总义齿(纯钛腭板))</v>
      </c>
      <c r="B397" t="str">
        <f>"310518004-11"</f>
        <v>310518004-11</v>
      </c>
      <c r="C397" t="str">
        <f t="shared" si="135"/>
        <v>治疗</v>
      </c>
      <c r="D397" t="str">
        <f t="shared" si="136"/>
        <v>003105180040000</v>
      </c>
      <c r="G397">
        <v>3000</v>
      </c>
      <c r="I397" t="str">
        <f t="shared" si="137"/>
        <v>/</v>
      </c>
      <c r="K397" t="str">
        <f>"MRYCSCSMRXFZYCCB"</f>
        <v>MRYCSCSMRXFZYCCB</v>
      </c>
      <c r="L397" t="str">
        <f>"UPYHLNQUPWTUYHXQ"</f>
        <v>UPYHLNQUPWTUYHXQ</v>
      </c>
      <c r="M397">
        <v>3000</v>
      </c>
      <c r="N397">
        <v>310518004</v>
      </c>
      <c r="O397" t="str">
        <f>"单颌"</f>
        <v>单颌</v>
      </c>
      <c r="P397" t="str">
        <f t="shared" si="129"/>
        <v>治疗费</v>
      </c>
    </row>
    <row r="398" spans="1:16">
      <c r="A398" t="str">
        <f>"美容义齿（纯钛中支架）"</f>
        <v>美容义齿（纯钛中支架）</v>
      </c>
      <c r="B398" t="str">
        <f>"310518004-2"</f>
        <v>310518004-2</v>
      </c>
      <c r="C398" t="str">
        <f t="shared" si="135"/>
        <v>治疗</v>
      </c>
      <c r="D398" t="str">
        <f t="shared" si="136"/>
        <v>003105180040000</v>
      </c>
      <c r="G398">
        <v>2000</v>
      </c>
      <c r="I398" t="str">
        <f t="shared" si="137"/>
        <v>/</v>
      </c>
      <c r="K398" t="str">
        <f>"MRYCCZZJ"</f>
        <v>MRYCCZZJ</v>
      </c>
      <c r="L398" t="str">
        <f>"UPYHXQKFL"</f>
        <v>UPYHXQKFL</v>
      </c>
      <c r="M398">
        <v>2000</v>
      </c>
      <c r="N398">
        <v>310518004</v>
      </c>
      <c r="O398" t="str">
        <f>"每件"</f>
        <v>每件</v>
      </c>
      <c r="P398" t="str">
        <f t="shared" si="129"/>
        <v>治疗费</v>
      </c>
    </row>
    <row r="399" spans="1:16">
      <c r="A399" t="str">
        <f>"美容义齿(隐形义齿)"</f>
        <v>美容义齿(隐形义齿)</v>
      </c>
      <c r="B399" t="str">
        <f>"310518004-21"</f>
        <v>310518004-21</v>
      </c>
      <c r="C399" t="str">
        <f t="shared" si="135"/>
        <v>治疗</v>
      </c>
      <c r="D399" t="str">
        <f t="shared" si="136"/>
        <v>003105180040000</v>
      </c>
      <c r="G399">
        <v>400</v>
      </c>
      <c r="I399" t="str">
        <f t="shared" si="137"/>
        <v>/</v>
      </c>
      <c r="K399" t="str">
        <f>"MRYCYXYC"</f>
        <v>MRYCYXYC</v>
      </c>
      <c r="L399" t="str">
        <f>"UPYHBGYH"</f>
        <v>UPYHBGYH</v>
      </c>
      <c r="M399">
        <v>400</v>
      </c>
      <c r="N399">
        <v>310518004</v>
      </c>
      <c r="O399" t="str">
        <f t="shared" ref="O399:O402" si="138">"每牙"</f>
        <v>每牙</v>
      </c>
      <c r="P399" t="str">
        <f t="shared" si="129"/>
        <v>治疗费</v>
      </c>
    </row>
    <row r="400" spans="1:16">
      <c r="A400" t="str">
        <f>"美容义齿(四层色美容修复总义齿)"</f>
        <v>美容义齿(四层色美容修复总义齿)</v>
      </c>
      <c r="B400" t="str">
        <f>"310518004-3"</f>
        <v>310518004-3</v>
      </c>
      <c r="C400" t="str">
        <f t="shared" si="135"/>
        <v>治疗</v>
      </c>
      <c r="D400" t="str">
        <f t="shared" si="136"/>
        <v>003105180040000</v>
      </c>
      <c r="G400">
        <v>4000</v>
      </c>
      <c r="I400" t="str">
        <f>"-"</f>
        <v>-</v>
      </c>
      <c r="K400" t="str">
        <f>"MRYCSCSMRXFZYC"</f>
        <v>MRYCSCSMRXFZYC</v>
      </c>
      <c r="L400" t="str">
        <f>"UPYHLNQUPWTUYH"</f>
        <v>UPYHLNQUPWTUYH</v>
      </c>
      <c r="M400">
        <v>4000</v>
      </c>
      <c r="N400">
        <v>310518004</v>
      </c>
      <c r="O400" t="str">
        <f t="shared" si="138"/>
        <v>每牙</v>
      </c>
      <c r="P400" t="str">
        <f t="shared" si="129"/>
        <v>治疗费</v>
      </c>
    </row>
    <row r="401" spans="1:16">
      <c r="A401" t="str">
        <f>"美容义齿（纤维桩核）"</f>
        <v>美容义齿（纤维桩核）</v>
      </c>
      <c r="B401" t="str">
        <f>"310518004-35"</f>
        <v>310518004-35</v>
      </c>
      <c r="C401" t="str">
        <f t="shared" si="135"/>
        <v>治疗</v>
      </c>
      <c r="D401" t="str">
        <f t="shared" si="136"/>
        <v>003105180040000</v>
      </c>
      <c r="G401">
        <v>400</v>
      </c>
      <c r="I401" t="str">
        <f t="shared" ref="I401:I403" si="139">"每牙"</f>
        <v>每牙</v>
      </c>
      <c r="K401" t="str">
        <f>"MRYCXWZH"</f>
        <v>MRYCXWZH</v>
      </c>
      <c r="L401" t="str">
        <f>"UPYHXXSS"</f>
        <v>UPYHXXSS</v>
      </c>
      <c r="M401">
        <v>450</v>
      </c>
      <c r="N401">
        <v>310518004</v>
      </c>
      <c r="O401" t="str">
        <f t="shared" si="138"/>
        <v>每牙</v>
      </c>
      <c r="P401" t="str">
        <f>"治疗费(含材料费)"</f>
        <v>治疗费(含材料费)</v>
      </c>
    </row>
    <row r="402" spans="1:16">
      <c r="A402" t="str">
        <f>"美容义齿(隐形义齿增加一牙加收)"</f>
        <v>美容义齿(隐形义齿增加一牙加收)</v>
      </c>
      <c r="B402" t="str">
        <f>"310518004-5"</f>
        <v>310518004-5</v>
      </c>
      <c r="C402" t="str">
        <f t="shared" si="135"/>
        <v>治疗</v>
      </c>
      <c r="D402" t="str">
        <f t="shared" si="136"/>
        <v>003105180040000</v>
      </c>
      <c r="G402">
        <v>100</v>
      </c>
      <c r="I402" t="str">
        <f t="shared" si="139"/>
        <v>每牙</v>
      </c>
      <c r="K402" t="str">
        <f>"MRYCYXYCZJYYJS"</f>
        <v>MRYCYXYCZJYYJS</v>
      </c>
      <c r="L402" t="str">
        <f>"UPYHBGYHFLGALN"</f>
        <v>UPYHBGYHFLGALN</v>
      </c>
      <c r="M402">
        <v>100</v>
      </c>
      <c r="N402">
        <v>310518004</v>
      </c>
      <c r="O402" t="str">
        <f t="shared" si="138"/>
        <v>每牙</v>
      </c>
      <c r="P402" t="str">
        <f t="shared" ref="P402:P428" si="140">"治疗费"</f>
        <v>治疗费</v>
      </c>
    </row>
    <row r="403" spans="1:16">
      <c r="A403" t="str">
        <f>"美容义齿（纯钛小支架）"</f>
        <v>美容义齿（纯钛小支架）</v>
      </c>
      <c r="B403" t="str">
        <f>"310518004-55"</f>
        <v>310518004-55</v>
      </c>
      <c r="C403" t="str">
        <f t="shared" si="135"/>
        <v>治疗</v>
      </c>
      <c r="D403" t="str">
        <f t="shared" si="136"/>
        <v>003105180040000</v>
      </c>
      <c r="G403">
        <v>1000</v>
      </c>
      <c r="I403" t="str">
        <f t="shared" si="139"/>
        <v>每牙</v>
      </c>
      <c r="K403" t="str">
        <f>"MRYCCXZJ"</f>
        <v>MRYCCXZJ</v>
      </c>
      <c r="L403" t="str">
        <f>"UPYHXQIFL"</f>
        <v>UPYHXQIFL</v>
      </c>
      <c r="M403">
        <v>1000</v>
      </c>
      <c r="N403">
        <v>310518004</v>
      </c>
      <c r="O403" t="str">
        <f>"每件"</f>
        <v>每件</v>
      </c>
      <c r="P403" t="str">
        <f>"治疗费(含材料费)"</f>
        <v>治疗费(含材料费)</v>
      </c>
    </row>
    <row r="404" spans="1:16">
      <c r="A404" t="str">
        <f>"美容义齿（纯钛烤瓷冠）"</f>
        <v>美容义齿（纯钛烤瓷冠）</v>
      </c>
      <c r="B404" t="str">
        <f>"310518004-6"</f>
        <v>310518004-6</v>
      </c>
      <c r="C404" t="str">
        <f t="shared" si="135"/>
        <v>治疗</v>
      </c>
      <c r="D404" t="str">
        <f t="shared" si="136"/>
        <v>003105180040000</v>
      </c>
      <c r="G404">
        <v>1500</v>
      </c>
      <c r="I404" t="str">
        <f>"/"</f>
        <v>/</v>
      </c>
      <c r="K404" t="str">
        <f>"MRYCCKCG"</f>
        <v>MRYCCKCG</v>
      </c>
      <c r="L404" t="str">
        <f>"UPYHXQOUP"</f>
        <v>UPYHXQOUP</v>
      </c>
      <c r="M404">
        <v>1500</v>
      </c>
      <c r="N404">
        <v>310518004</v>
      </c>
      <c r="O404" t="str">
        <f t="shared" ref="O404:O411" si="141">"每牙"</f>
        <v>每牙</v>
      </c>
      <c r="P404" t="str">
        <f t="shared" si="140"/>
        <v>治疗费</v>
      </c>
    </row>
    <row r="405" spans="1:16">
      <c r="A405" t="str">
        <f>"美容义齿（贱金属烧烤瓷冠）"</f>
        <v>美容义齿（贱金属烧烤瓷冠）</v>
      </c>
      <c r="B405" t="str">
        <f>"310518004-7"</f>
        <v>310518004-7</v>
      </c>
      <c r="C405" t="str">
        <f t="shared" si="135"/>
        <v>治疗</v>
      </c>
      <c r="D405" t="str">
        <f t="shared" si="136"/>
        <v>003105180040000</v>
      </c>
      <c r="G405">
        <v>800</v>
      </c>
      <c r="I405" t="str">
        <f>"/"</f>
        <v>/</v>
      </c>
      <c r="K405" t="str">
        <f>"MRYCJJSSKCG"</f>
        <v>MRYCJJSSKCG</v>
      </c>
      <c r="L405" t="str">
        <f>"UPYHMQNOOUP"</f>
        <v>UPYHMQNOOUP</v>
      </c>
      <c r="M405">
        <v>900</v>
      </c>
      <c r="N405">
        <v>310518004</v>
      </c>
      <c r="O405" t="str">
        <f t="shared" si="141"/>
        <v>每牙</v>
      </c>
      <c r="P405" t="str">
        <f t="shared" si="140"/>
        <v>治疗费</v>
      </c>
    </row>
    <row r="406" spans="1:16">
      <c r="A406" t="str">
        <f>"美容义齿"</f>
        <v>美容义齿</v>
      </c>
      <c r="B406" t="str">
        <f>"310518004-74"</f>
        <v>310518004-74</v>
      </c>
      <c r="C406" t="str">
        <f t="shared" si="135"/>
        <v>治疗</v>
      </c>
      <c r="D406" t="str">
        <f t="shared" si="136"/>
        <v>003105180040000</v>
      </c>
      <c r="G406">
        <v>2000</v>
      </c>
      <c r="I406" t="str">
        <f t="shared" ref="I406:I411" si="142">"每牙"</f>
        <v>每牙</v>
      </c>
      <c r="K406" t="str">
        <f>"MRYC"</f>
        <v>MRYC</v>
      </c>
      <c r="L406" t="str">
        <f>"UPYH"</f>
        <v>UPYH</v>
      </c>
      <c r="M406">
        <v>2000</v>
      </c>
      <c r="O406" t="str">
        <f t="shared" si="141"/>
        <v>每牙</v>
      </c>
      <c r="P406" t="str">
        <f t="shared" si="140"/>
        <v>治疗费</v>
      </c>
    </row>
    <row r="407" spans="1:16">
      <c r="A407" t="str">
        <f>"美容义齿（强化树脂冠）"</f>
        <v>美容义齿（强化树脂冠）</v>
      </c>
      <c r="B407" t="str">
        <f>"310518004-76"</f>
        <v>310518004-76</v>
      </c>
      <c r="C407" t="str">
        <f t="shared" si="135"/>
        <v>治疗</v>
      </c>
      <c r="D407" t="str">
        <f t="shared" si="136"/>
        <v>003105180040000</v>
      </c>
      <c r="G407">
        <v>1200</v>
      </c>
      <c r="I407" t="str">
        <f t="shared" si="142"/>
        <v>每牙</v>
      </c>
      <c r="K407" t="str">
        <f>"MRYCQHSZG"</f>
        <v>MRYCQHSZG</v>
      </c>
      <c r="L407" t="str">
        <f>"UPYHXWSEP"</f>
        <v>UPYHXWSEP</v>
      </c>
      <c r="M407">
        <v>1200</v>
      </c>
      <c r="O407" t="str">
        <f t="shared" si="141"/>
        <v>每牙</v>
      </c>
      <c r="P407" t="str">
        <f t="shared" si="140"/>
        <v>治疗费</v>
      </c>
    </row>
    <row r="408" spans="1:16">
      <c r="A408" t="str">
        <f>"美容义齿（纤维超瓷）"</f>
        <v>美容义齿（纤维超瓷）</v>
      </c>
      <c r="B408" t="str">
        <f>"310518004-79"</f>
        <v>310518004-79</v>
      </c>
      <c r="C408" t="str">
        <f t="shared" si="135"/>
        <v>治疗</v>
      </c>
      <c r="D408" t="str">
        <f t="shared" si="136"/>
        <v>003105180040000</v>
      </c>
      <c r="G408">
        <v>4500</v>
      </c>
      <c r="I408" t="str">
        <f t="shared" si="142"/>
        <v>每牙</v>
      </c>
      <c r="K408" t="str">
        <f>"MRYCXWCC"</f>
        <v>MRYCXWCC</v>
      </c>
      <c r="L408" t="str">
        <f>"UPYHXXFU"</f>
        <v>UPYHXXFU</v>
      </c>
      <c r="M408">
        <v>4500</v>
      </c>
      <c r="O408" t="str">
        <f t="shared" si="141"/>
        <v>每牙</v>
      </c>
      <c r="P408" t="str">
        <f t="shared" si="140"/>
        <v>治疗费</v>
      </c>
    </row>
    <row r="409" spans="1:16">
      <c r="A409" t="str">
        <f>"美容义齿（计算机纯钛冠）"</f>
        <v>美容义齿（计算机纯钛冠）</v>
      </c>
      <c r="B409" t="str">
        <f>"310518004-81"</f>
        <v>310518004-81</v>
      </c>
      <c r="C409" t="str">
        <f t="shared" si="135"/>
        <v>治疗</v>
      </c>
      <c r="D409" t="str">
        <f t="shared" si="136"/>
        <v>003105180040000</v>
      </c>
      <c r="G409">
        <v>1500</v>
      </c>
      <c r="I409" t="str">
        <f t="shared" si="142"/>
        <v>每牙</v>
      </c>
      <c r="K409" t="str">
        <f>"MRYCJSJCG"</f>
        <v>MRYCJSJCG</v>
      </c>
      <c r="L409" t="str">
        <f>"UPYHYTSXQP"</f>
        <v>UPYHYTSXQP</v>
      </c>
      <c r="M409">
        <v>1500</v>
      </c>
      <c r="O409" t="str">
        <f t="shared" si="141"/>
        <v>每牙</v>
      </c>
      <c r="P409" t="str">
        <f t="shared" si="140"/>
        <v>治疗费</v>
      </c>
    </row>
    <row r="410" spans="1:16">
      <c r="A410" t="str">
        <f>"美容义齿（特殊暂时冠桥）"</f>
        <v>美容义齿（特殊暂时冠桥）</v>
      </c>
      <c r="B410" t="str">
        <f>"310518004-82"</f>
        <v>310518004-82</v>
      </c>
      <c r="C410" t="str">
        <f t="shared" si="135"/>
        <v>治疗</v>
      </c>
      <c r="D410" t="str">
        <f t="shared" si="136"/>
        <v>003105180040000</v>
      </c>
      <c r="G410">
        <v>300</v>
      </c>
      <c r="I410" t="str">
        <f t="shared" si="142"/>
        <v>每牙</v>
      </c>
      <c r="K410" t="str">
        <f>"MRYCTSZSGQ"</f>
        <v>MRYCTSZSGQ</v>
      </c>
      <c r="L410" t="str">
        <f>"UPYHTGLJPS"</f>
        <v>UPYHTGLJPS</v>
      </c>
      <c r="M410">
        <v>300</v>
      </c>
      <c r="O410" t="str">
        <f t="shared" si="141"/>
        <v>每牙</v>
      </c>
      <c r="P410" t="str">
        <f t="shared" si="140"/>
        <v>治疗费</v>
      </c>
    </row>
    <row r="411" spans="1:16">
      <c r="A411" t="str">
        <f>"美容义齿(白胶钩)"</f>
        <v>美容义齿(白胶钩)</v>
      </c>
      <c r="B411" t="str">
        <f>"310518004-84"</f>
        <v>310518004-84</v>
      </c>
      <c r="C411" t="str">
        <f t="shared" si="135"/>
        <v>治疗</v>
      </c>
      <c r="G411">
        <v>500</v>
      </c>
      <c r="I411" t="str">
        <f t="shared" si="142"/>
        <v>每牙</v>
      </c>
      <c r="K411" t="str">
        <f>"MRYCBJG"</f>
        <v>MRYCBJG</v>
      </c>
      <c r="L411" t="str">
        <f>"UPYHREQ"</f>
        <v>UPYHREQ</v>
      </c>
      <c r="M411">
        <v>500</v>
      </c>
      <c r="O411" t="str">
        <f t="shared" si="141"/>
        <v>每牙</v>
      </c>
      <c r="P411" t="str">
        <f t="shared" si="140"/>
        <v>治疗费</v>
      </c>
    </row>
    <row r="412" spans="1:16">
      <c r="A412" t="str">
        <f>"美容义齿（纯钛大支架）"</f>
        <v>美容义齿（纯钛大支架）</v>
      </c>
      <c r="B412" t="str">
        <f>"310518004-9"</f>
        <v>310518004-9</v>
      </c>
      <c r="C412" t="str">
        <f t="shared" si="135"/>
        <v>治疗</v>
      </c>
      <c r="D412" t="str">
        <f>"003105180040000"</f>
        <v>003105180040000</v>
      </c>
      <c r="G412">
        <v>3000</v>
      </c>
      <c r="I412" t="str">
        <f>"/"</f>
        <v>/</v>
      </c>
      <c r="K412" t="str">
        <f>"MRYCCDZJ"</f>
        <v>MRYCCDZJ</v>
      </c>
      <c r="L412" t="str">
        <f>"UPYHXQDFL"</f>
        <v>UPYHXQDFL</v>
      </c>
      <c r="M412">
        <v>3500</v>
      </c>
      <c r="N412">
        <v>310518004</v>
      </c>
      <c r="O412" t="str">
        <f>"每件"</f>
        <v>每件</v>
      </c>
      <c r="P412" t="str">
        <f t="shared" si="140"/>
        <v>治疗费</v>
      </c>
    </row>
    <row r="413" spans="1:16">
      <c r="A413" t="str">
        <f>"即刻义齿"</f>
        <v>即刻义齿</v>
      </c>
      <c r="B413">
        <v>310518005</v>
      </c>
      <c r="C413" t="str">
        <f t="shared" ref="C413:C428" si="143">"其他"</f>
        <v>其他</v>
      </c>
      <c r="D413" t="str">
        <f>"003105180050000"</f>
        <v>003105180050000</v>
      </c>
      <c r="G413">
        <v>19</v>
      </c>
      <c r="I413" t="str">
        <f>"-"</f>
        <v>-</v>
      </c>
      <c r="K413" t="str">
        <f>"JKYC"</f>
        <v>JKYC</v>
      </c>
      <c r="L413" t="str">
        <f>"VYYH"</f>
        <v>VYYH</v>
      </c>
      <c r="M413">
        <v>19</v>
      </c>
      <c r="N413">
        <v>310518005</v>
      </c>
      <c r="O413" t="str">
        <f t="shared" ref="O413:O416" si="144">"每牙"</f>
        <v>每牙</v>
      </c>
      <c r="P413" t="str">
        <f t="shared" si="140"/>
        <v>治疗费</v>
      </c>
    </row>
    <row r="414" spans="1:16">
      <c r="A414" t="str">
        <f>"总义齿"</f>
        <v>总义齿</v>
      </c>
      <c r="B414">
        <v>310518007</v>
      </c>
      <c r="C414" t="str">
        <f t="shared" si="143"/>
        <v>其他</v>
      </c>
      <c r="D414" t="str">
        <f>"003105180070000"</f>
        <v>003105180070000</v>
      </c>
      <c r="G414">
        <v>360</v>
      </c>
      <c r="I414">
        <v>1</v>
      </c>
      <c r="K414" t="str">
        <f>"ZYC"</f>
        <v>ZYC</v>
      </c>
      <c r="L414" t="str">
        <f>"UYH"</f>
        <v>UYH</v>
      </c>
      <c r="M414">
        <v>360</v>
      </c>
      <c r="N414">
        <v>310518007</v>
      </c>
      <c r="O414" t="str">
        <f>"单颌"</f>
        <v>单颌</v>
      </c>
      <c r="P414" t="str">
        <f t="shared" si="140"/>
        <v>治疗费</v>
      </c>
    </row>
    <row r="415" spans="1:16">
      <c r="A415" t="str">
        <f>"拆冠桥（铸造冠）"</f>
        <v>拆冠桥（铸造冠）</v>
      </c>
      <c r="B415" t="str">
        <f>"310519001-a"</f>
        <v>310519001-a</v>
      </c>
      <c r="C415" t="str">
        <f t="shared" si="143"/>
        <v>其他</v>
      </c>
      <c r="D415" t="str">
        <f>"003105190010000"</f>
        <v>003105190010000</v>
      </c>
      <c r="G415">
        <v>20</v>
      </c>
      <c r="I415" t="str">
        <f>"每牙"</f>
        <v>每牙</v>
      </c>
      <c r="K415" t="str">
        <f>"CGQ（ZZG）"</f>
        <v>CGQ（ZZG）</v>
      </c>
      <c r="L415" t="str">
        <f>"RPSQTP"</f>
        <v>RPSQTP</v>
      </c>
      <c r="M415">
        <v>20</v>
      </c>
      <c r="N415" t="str">
        <f>"310519001-a"</f>
        <v>310519001-a</v>
      </c>
      <c r="O415" t="str">
        <f t="shared" si="144"/>
        <v>每牙</v>
      </c>
      <c r="P415" t="str">
        <f t="shared" si="140"/>
        <v>治疗费</v>
      </c>
    </row>
    <row r="416" spans="1:16">
      <c r="A416" t="str">
        <f>"加装饰面"</f>
        <v>加装饰面</v>
      </c>
      <c r="B416">
        <v>310519004</v>
      </c>
      <c r="C416" t="str">
        <f t="shared" si="143"/>
        <v>其他</v>
      </c>
      <c r="D416" t="str">
        <f>"XM00002680"</f>
        <v>XM00002680</v>
      </c>
      <c r="G416">
        <v>2.4</v>
      </c>
      <c r="I416" t="str">
        <f>"每牙"</f>
        <v>每牙</v>
      </c>
      <c r="K416" t="str">
        <f>"JZSM"</f>
        <v>JZSM</v>
      </c>
      <c r="L416" t="str">
        <f>"LUQD"</f>
        <v>LUQD</v>
      </c>
      <c r="M416">
        <v>2.4</v>
      </c>
      <c r="N416">
        <v>310519004</v>
      </c>
      <c r="O416" t="str">
        <f t="shared" si="144"/>
        <v>每牙</v>
      </c>
      <c r="P416" t="str">
        <f t="shared" si="140"/>
        <v>治疗费</v>
      </c>
    </row>
    <row r="417" spans="1:16">
      <c r="A417" t="str">
        <f>"调改义齿"</f>
        <v>调改义齿</v>
      </c>
      <c r="B417">
        <v>310519006</v>
      </c>
      <c r="C417" t="str">
        <f t="shared" si="143"/>
        <v>其他</v>
      </c>
      <c r="D417" t="str">
        <f>"003105190060000"</f>
        <v>003105190060000</v>
      </c>
      <c r="G417">
        <v>3.6</v>
      </c>
      <c r="I417" t="str">
        <f>"-"</f>
        <v>-</v>
      </c>
      <c r="K417" t="str">
        <f>"DGYC"</f>
        <v>DGYC</v>
      </c>
      <c r="L417" t="str">
        <f>"YNYH"</f>
        <v>YNYH</v>
      </c>
      <c r="M417">
        <v>3.6</v>
      </c>
      <c r="N417">
        <v>310519006</v>
      </c>
      <c r="O417" t="str">
        <f t="shared" ref="O417:O419" si="145">"次"</f>
        <v>次</v>
      </c>
      <c r="P417" t="str">
        <f t="shared" si="140"/>
        <v>治疗费</v>
      </c>
    </row>
    <row r="418" spans="1:16">
      <c r="A418" t="str">
        <f>"取局部关系记录"</f>
        <v>取局部关系记录</v>
      </c>
      <c r="B418">
        <v>310519007</v>
      </c>
      <c r="C418" t="str">
        <f t="shared" si="143"/>
        <v>其他</v>
      </c>
      <c r="D418" t="str">
        <f>"003105190070000"</f>
        <v>003105190070000</v>
      </c>
      <c r="G418">
        <v>12</v>
      </c>
      <c r="I418" t="str">
        <f t="shared" ref="I418:I421" si="146">"次"</f>
        <v>次</v>
      </c>
      <c r="K418" t="str">
        <f>"QJBZGXJL"</f>
        <v>QJBZGXJL</v>
      </c>
      <c r="L418" t="str">
        <f>"BNUUTYV"</f>
        <v>BNUUTYV</v>
      </c>
      <c r="M418">
        <v>12</v>
      </c>
      <c r="N418">
        <v>310519007</v>
      </c>
      <c r="O418" t="str">
        <f t="shared" si="145"/>
        <v>次</v>
      </c>
      <c r="P418" t="str">
        <f t="shared" si="140"/>
        <v>治疗费</v>
      </c>
    </row>
    <row r="419" spans="1:16">
      <c r="A419" t="str">
        <f>"取正中关系记录"</f>
        <v>取正中关系记录</v>
      </c>
      <c r="B419">
        <v>310519008</v>
      </c>
      <c r="C419" t="str">
        <f t="shared" si="143"/>
        <v>其他</v>
      </c>
      <c r="D419" t="str">
        <f>"003105190080000"</f>
        <v>003105190080000</v>
      </c>
      <c r="G419">
        <v>36</v>
      </c>
      <c r="I419" t="str">
        <f t="shared" si="146"/>
        <v>次</v>
      </c>
      <c r="K419" t="str">
        <f>"QZZZGXJL"</f>
        <v>QZZZGXJL</v>
      </c>
      <c r="L419" t="str">
        <f>"BGKUTYV"</f>
        <v>BGKUTYV</v>
      </c>
      <c r="M419">
        <v>36</v>
      </c>
      <c r="N419">
        <v>310519008</v>
      </c>
      <c r="O419" t="str">
        <f t="shared" si="145"/>
        <v>次</v>
      </c>
      <c r="P419" t="str">
        <f t="shared" si="140"/>
        <v>治疗费</v>
      </c>
    </row>
    <row r="420" spans="1:16">
      <c r="A420" t="str">
        <f>"加人工牙"</f>
        <v>加人工牙</v>
      </c>
      <c r="B420">
        <v>310519009</v>
      </c>
      <c r="C420" t="str">
        <f t="shared" si="143"/>
        <v>其他</v>
      </c>
      <c r="D420" t="str">
        <f>"003105190090000"</f>
        <v>003105190090000</v>
      </c>
      <c r="G420">
        <v>18</v>
      </c>
      <c r="I420" t="str">
        <f>"-"</f>
        <v>-</v>
      </c>
      <c r="K420" t="str">
        <f>"JRGY"</f>
        <v>JRGY</v>
      </c>
      <c r="L420" t="str">
        <f>"LWAA"</f>
        <v>LWAA</v>
      </c>
      <c r="M420">
        <v>18</v>
      </c>
      <c r="N420">
        <v>310519009</v>
      </c>
      <c r="O420" t="str">
        <f>"每牙"</f>
        <v>每牙</v>
      </c>
      <c r="P420" t="str">
        <f t="shared" si="140"/>
        <v>治疗费</v>
      </c>
    </row>
    <row r="421" spans="1:16">
      <c r="A421" t="str">
        <f>"义齿裂纹及折裂修理"</f>
        <v>义齿裂纹及折裂修理</v>
      </c>
      <c r="B421">
        <v>310519011</v>
      </c>
      <c r="C421" t="str">
        <f t="shared" si="143"/>
        <v>其他</v>
      </c>
      <c r="D421" t="str">
        <f>"003105190110000"</f>
        <v>003105190110000</v>
      </c>
      <c r="G421">
        <v>24</v>
      </c>
      <c r="I421" t="str">
        <f t="shared" si="146"/>
        <v>次</v>
      </c>
      <c r="K421" t="str">
        <f>"YCLWJZLXL"</f>
        <v>YCLWJZLXL</v>
      </c>
      <c r="L421" t="str">
        <f>"YHGXERGWG"</f>
        <v>YHGXERGWG</v>
      </c>
      <c r="M421">
        <v>24</v>
      </c>
      <c r="N421">
        <v>310519011</v>
      </c>
      <c r="O421" t="str">
        <f t="shared" ref="O421:O425" si="147">"次"</f>
        <v>次</v>
      </c>
      <c r="P421" t="str">
        <f t="shared" si="140"/>
        <v>治疗费</v>
      </c>
    </row>
    <row r="422" spans="1:16">
      <c r="A422" t="str">
        <f>"增加铸造基托"</f>
        <v>增加铸造基托</v>
      </c>
      <c r="B422">
        <v>310519014</v>
      </c>
      <c r="C422" t="str">
        <f t="shared" si="143"/>
        <v>其他</v>
      </c>
      <c r="D422" t="str">
        <f>"003105190140000"</f>
        <v>003105190140000</v>
      </c>
      <c r="G422">
        <v>26</v>
      </c>
      <c r="I422" t="str">
        <f>"5＋5"</f>
        <v>5＋5</v>
      </c>
      <c r="K422" t="str">
        <f>"ZJZZJT"</f>
        <v>ZJZZJT</v>
      </c>
      <c r="L422" t="str">
        <f>"FLQTAR"</f>
        <v>FLQTAR</v>
      </c>
      <c r="M422">
        <v>26</v>
      </c>
      <c r="N422">
        <v>310519014</v>
      </c>
      <c r="O422" t="str">
        <f>"个"</f>
        <v>个</v>
      </c>
      <c r="P422" t="str">
        <f t="shared" si="140"/>
        <v>治疗费</v>
      </c>
    </row>
    <row r="423" spans="1:16">
      <c r="A423" t="str">
        <f>"加合(代)颌支托"</f>
        <v>加合(代)颌支托</v>
      </c>
      <c r="B423">
        <v>310519015</v>
      </c>
      <c r="C423" t="str">
        <f t="shared" si="143"/>
        <v>其他</v>
      </c>
      <c r="D423" t="str">
        <f>"003105190150000"</f>
        <v>003105190150000</v>
      </c>
      <c r="G423">
        <v>18</v>
      </c>
      <c r="I423">
        <v>1</v>
      </c>
      <c r="K423" t="str">
        <f>"JH(D)HZT"</f>
        <v>JH(D)HZT</v>
      </c>
      <c r="L423" t="str">
        <f>"LWWWFR"</f>
        <v>LWWWFR</v>
      </c>
      <c r="M423">
        <v>18</v>
      </c>
      <c r="N423">
        <v>310519015</v>
      </c>
      <c r="O423" t="str">
        <f t="shared" si="147"/>
        <v>次</v>
      </c>
      <c r="P423" t="str">
        <f t="shared" si="140"/>
        <v>治疗费</v>
      </c>
    </row>
    <row r="424" spans="1:16">
      <c r="A424" t="str">
        <f>"增加加固装置"</f>
        <v>增加加固装置</v>
      </c>
      <c r="B424">
        <v>310519017</v>
      </c>
      <c r="C424" t="str">
        <f t="shared" si="143"/>
        <v>其他</v>
      </c>
      <c r="D424" t="str">
        <f>"003105190170000"</f>
        <v>003105190170000</v>
      </c>
      <c r="G424">
        <v>8.4</v>
      </c>
      <c r="I424" t="str">
        <f>"次"</f>
        <v>次</v>
      </c>
      <c r="K424" t="str">
        <f>"ZJJGZZ"</f>
        <v>ZJJGZZ</v>
      </c>
      <c r="L424" t="str">
        <f>"FLLLUL"</f>
        <v>FLLLUL</v>
      </c>
      <c r="M424">
        <v>8.4</v>
      </c>
      <c r="N424">
        <v>310519017</v>
      </c>
      <c r="O424" t="str">
        <f t="shared" si="147"/>
        <v>次</v>
      </c>
      <c r="P424" t="str">
        <f t="shared" si="140"/>
        <v>治疗费</v>
      </c>
    </row>
    <row r="425" spans="1:16">
      <c r="A425" t="str">
        <f>"塑料合（代）颌面加高咬合"</f>
        <v>塑料合（代）颌面加高咬合</v>
      </c>
      <c r="B425">
        <v>310519019</v>
      </c>
      <c r="C425" t="str">
        <f t="shared" si="143"/>
        <v>其他</v>
      </c>
      <c r="D425" t="str">
        <f>"003105190190000"</f>
        <v>003105190190000</v>
      </c>
      <c r="G425">
        <v>30</v>
      </c>
      <c r="I425" t="str">
        <f>"项"</f>
        <v>项</v>
      </c>
      <c r="K425" t="str">
        <f>"SLHDHMJGYH"</f>
        <v>SLHDHMJGYH</v>
      </c>
      <c r="L425" t="str">
        <f>"UOWWWDLYKW"</f>
        <v>UOWWWDLYKW</v>
      </c>
      <c r="M425">
        <v>30</v>
      </c>
      <c r="N425">
        <v>310519019</v>
      </c>
      <c r="O425" t="str">
        <f t="shared" si="147"/>
        <v>次</v>
      </c>
      <c r="P425" t="str">
        <f t="shared" si="140"/>
        <v>治疗费</v>
      </c>
    </row>
    <row r="426" spans="1:16">
      <c r="A426" t="str">
        <f>"合（代）垫"</f>
        <v>合（代）垫</v>
      </c>
      <c r="B426">
        <v>310520001</v>
      </c>
      <c r="C426" t="str">
        <f t="shared" si="143"/>
        <v>其他</v>
      </c>
      <c r="D426" t="str">
        <f>"003105200010000"</f>
        <v>003105200010000</v>
      </c>
      <c r="G426">
        <v>144</v>
      </c>
      <c r="I426" t="str">
        <f>"件"</f>
        <v>件</v>
      </c>
      <c r="K426" t="str">
        <f>"HDD"</f>
        <v>HDD</v>
      </c>
      <c r="L426" t="str">
        <f>"WWR"</f>
        <v>WWR</v>
      </c>
      <c r="M426">
        <v>144</v>
      </c>
      <c r="N426">
        <v>310520001</v>
      </c>
      <c r="O426" t="str">
        <f>"件"</f>
        <v>件</v>
      </c>
      <c r="P426" t="str">
        <f t="shared" si="140"/>
        <v>治疗费</v>
      </c>
    </row>
    <row r="427" spans="1:16">
      <c r="A427" t="str">
        <f>"正畸保持器治疗"</f>
        <v>正畸保持器治疗</v>
      </c>
      <c r="B427">
        <v>310522028</v>
      </c>
      <c r="C427" t="str">
        <f t="shared" si="143"/>
        <v>其他</v>
      </c>
      <c r="D427" t="str">
        <f>"003105220280000"</f>
        <v>003105220280000</v>
      </c>
      <c r="G427">
        <v>48</v>
      </c>
      <c r="I427" t="str">
        <f>"-"</f>
        <v>-</v>
      </c>
      <c r="K427" t="str">
        <f>"ZJBCQZL"</f>
        <v>ZJBCQZL</v>
      </c>
      <c r="L427" t="str">
        <f>"GLWRKIU"</f>
        <v>GLWRKIU</v>
      </c>
      <c r="M427">
        <v>48</v>
      </c>
      <c r="N427">
        <v>310522028</v>
      </c>
      <c r="O427" t="str">
        <f>"付"</f>
        <v>付</v>
      </c>
      <c r="P427" t="str">
        <f t="shared" si="140"/>
        <v>治疗费</v>
      </c>
    </row>
    <row r="428" spans="1:16">
      <c r="A428" t="str">
        <f>"血氧饱和度监测"</f>
        <v>血氧饱和度监测</v>
      </c>
      <c r="B428">
        <v>310701028</v>
      </c>
      <c r="C428" t="str">
        <f t="shared" si="143"/>
        <v>其他</v>
      </c>
      <c r="D428" t="str">
        <f>"003107010280000"</f>
        <v>003107010280000</v>
      </c>
      <c r="G428">
        <v>2</v>
      </c>
      <c r="I428" t="str">
        <f>"小时"</f>
        <v>小时</v>
      </c>
      <c r="K428" t="str">
        <f>"XYBHDJC"</f>
        <v>XYBHDJC</v>
      </c>
      <c r="L428" t="str">
        <f>"TRQTYJI"</f>
        <v>TRQTYJI</v>
      </c>
      <c r="M428">
        <v>2.4</v>
      </c>
      <c r="N428">
        <v>310701028</v>
      </c>
      <c r="O428" t="str">
        <f>"小时"</f>
        <v>小时</v>
      </c>
      <c r="P428" t="str">
        <f t="shared" si="140"/>
        <v>治疗费</v>
      </c>
    </row>
    <row r="429" spans="1:16">
      <c r="A429" t="str">
        <f>"妇科检查（阴道）"</f>
        <v>妇科检查（阴道）</v>
      </c>
      <c r="B429" t="str">
        <f>"311201001-5"</f>
        <v>311201001-5</v>
      </c>
      <c r="C429" t="str">
        <f t="shared" ref="C429:C431" si="148">"检查"</f>
        <v>检查</v>
      </c>
      <c r="D429" t="str">
        <f>"003112010010000"</f>
        <v>003112010010000</v>
      </c>
      <c r="G429">
        <v>13</v>
      </c>
      <c r="I429" t="str">
        <f t="shared" ref="I429:I434" si="149">"次"</f>
        <v>次</v>
      </c>
      <c r="K429" t="str">
        <f>"FKJCYD"</f>
        <v>FKJCYD</v>
      </c>
      <c r="L429" t="str">
        <f>"VTSSBU"</f>
        <v>VTSSBU</v>
      </c>
      <c r="M429">
        <v>13</v>
      </c>
      <c r="O429" t="str">
        <f>"每个 部位"</f>
        <v>每个 部位</v>
      </c>
      <c r="P429" t="str">
        <f t="shared" ref="P429:P431" si="150">"检查费"</f>
        <v>检查费</v>
      </c>
    </row>
    <row r="430" spans="1:16">
      <c r="A430" t="str">
        <f>"妇科检查（会阴）"</f>
        <v>妇科检查（会阴）</v>
      </c>
      <c r="B430" t="str">
        <f>"311201001-6"</f>
        <v>311201001-6</v>
      </c>
      <c r="C430" t="str">
        <f t="shared" si="148"/>
        <v>检查</v>
      </c>
      <c r="D430" t="str">
        <f>"003112010010000"</f>
        <v>003112010010000</v>
      </c>
      <c r="G430">
        <v>13</v>
      </c>
      <c r="I430" t="str">
        <f t="shared" si="149"/>
        <v>次</v>
      </c>
      <c r="K430" t="str">
        <f>"FKJCHY"</f>
        <v>FKJCHY</v>
      </c>
      <c r="L430" t="str">
        <f>"VTSSWB"</f>
        <v>VTSSWB</v>
      </c>
      <c r="M430">
        <v>13</v>
      </c>
      <c r="O430" t="str">
        <f>"每个 部位"</f>
        <v>每个 部位</v>
      </c>
      <c r="P430" t="str">
        <f t="shared" si="150"/>
        <v>检查费</v>
      </c>
    </row>
    <row r="431" spans="1:16">
      <c r="A431" t="str">
        <f>"新生儿经皮胆红素测定"</f>
        <v>新生儿经皮胆红素测定</v>
      </c>
      <c r="B431">
        <v>311202011</v>
      </c>
      <c r="C431" t="str">
        <f t="shared" si="148"/>
        <v>检查</v>
      </c>
      <c r="D431" t="str">
        <f>"003112020110000"</f>
        <v>003112020110000</v>
      </c>
      <c r="G431">
        <v>6.5</v>
      </c>
      <c r="I431" t="str">
        <f t="shared" si="149"/>
        <v>次</v>
      </c>
      <c r="K431" t="str">
        <f>"XSEJPDHSCD"</f>
        <v>XSEJPDHSCD</v>
      </c>
      <c r="L431" t="str">
        <f>"UTQXHEXGIP"</f>
        <v>UTQXHEXGIP</v>
      </c>
      <c r="M431">
        <v>6.5</v>
      </c>
      <c r="N431">
        <v>311202011</v>
      </c>
      <c r="O431" t="str">
        <f t="shared" ref="O431:O438" si="151">"次"</f>
        <v>次</v>
      </c>
      <c r="P431" t="str">
        <f t="shared" si="150"/>
        <v>检查费</v>
      </c>
    </row>
    <row r="432" spans="1:16">
      <c r="A432" t="str">
        <f>"关节穿刺术"</f>
        <v>关节穿刺术</v>
      </c>
      <c r="B432">
        <v>311300002</v>
      </c>
      <c r="C432" t="str">
        <f t="shared" ref="C432:C441" si="152">"其他"</f>
        <v>其他</v>
      </c>
      <c r="D432" t="str">
        <f>"003113000020000"</f>
        <v>003113000020000</v>
      </c>
      <c r="G432">
        <v>65</v>
      </c>
      <c r="I432" t="str">
        <f t="shared" si="149"/>
        <v>次</v>
      </c>
      <c r="K432" t="str">
        <f>"GJCCS"</f>
        <v>GJCCS</v>
      </c>
      <c r="L432" t="str">
        <f>"UAPGS"</f>
        <v>UAPGS</v>
      </c>
      <c r="M432">
        <v>65</v>
      </c>
      <c r="N432">
        <v>311300002</v>
      </c>
      <c r="O432" t="str">
        <f t="shared" si="151"/>
        <v>次</v>
      </c>
      <c r="P432" t="str">
        <f t="shared" ref="P432:P438" si="153">"治疗费"</f>
        <v>治疗费</v>
      </c>
    </row>
    <row r="433" spans="1:16">
      <c r="A433" t="str">
        <f>"关节腔灌注治疗"</f>
        <v>关节腔灌注治疗</v>
      </c>
      <c r="B433">
        <v>311300003</v>
      </c>
      <c r="C433" t="str">
        <f t="shared" si="152"/>
        <v>其他</v>
      </c>
      <c r="D433" t="str">
        <f>"003113000030000"</f>
        <v>003113000030000</v>
      </c>
      <c r="G433">
        <v>104</v>
      </c>
      <c r="I433" t="str">
        <f t="shared" si="149"/>
        <v>次</v>
      </c>
      <c r="K433" t="str">
        <f>"GJQGZZL"</f>
        <v>GJQGZZL</v>
      </c>
      <c r="L433" t="str">
        <f>"UAEIIIU"</f>
        <v>UAEIIIU</v>
      </c>
      <c r="M433">
        <v>104</v>
      </c>
      <c r="N433">
        <v>311300003</v>
      </c>
      <c r="O433" t="str">
        <f t="shared" si="151"/>
        <v>次</v>
      </c>
      <c r="P433" t="str">
        <f t="shared" si="153"/>
        <v>治疗费</v>
      </c>
    </row>
    <row r="434" spans="1:16">
      <c r="A434" t="str">
        <f>"软组织内封闭术"</f>
        <v>软组织内封闭术</v>
      </c>
      <c r="B434">
        <v>311300006</v>
      </c>
      <c r="C434" t="str">
        <f t="shared" si="152"/>
        <v>其他</v>
      </c>
      <c r="D434" t="str">
        <f>"003113000060000"</f>
        <v>003113000060000</v>
      </c>
      <c r="G434">
        <v>33</v>
      </c>
      <c r="I434" t="str">
        <f t="shared" si="149"/>
        <v>次</v>
      </c>
      <c r="K434" t="str">
        <f>"RZZNFBS"</f>
        <v>RZZNFBS</v>
      </c>
      <c r="L434" t="str">
        <f>"LXXMFUS"</f>
        <v>LXXMFUS</v>
      </c>
      <c r="M434">
        <v>33</v>
      </c>
      <c r="N434">
        <v>311300006</v>
      </c>
      <c r="O434" t="str">
        <f t="shared" si="151"/>
        <v>次</v>
      </c>
      <c r="P434" t="str">
        <f t="shared" si="153"/>
        <v>治疗费</v>
      </c>
    </row>
    <row r="435" spans="1:16">
      <c r="A435" t="str">
        <f>"鞘内封闭"</f>
        <v>鞘内封闭</v>
      </c>
      <c r="B435" t="str">
        <f>"311300010-1"</f>
        <v>311300010-1</v>
      </c>
      <c r="C435" t="str">
        <f t="shared" si="152"/>
        <v>其他</v>
      </c>
      <c r="D435" t="str">
        <f>"003113000100000"</f>
        <v>003113000100000</v>
      </c>
      <c r="G435">
        <v>65</v>
      </c>
      <c r="I435">
        <v>1</v>
      </c>
      <c r="K435" t="str">
        <f>"QNFB"</f>
        <v>QNFB</v>
      </c>
      <c r="L435" t="str">
        <f>"AMFU"</f>
        <v>AMFU</v>
      </c>
      <c r="M435">
        <v>65</v>
      </c>
      <c r="N435">
        <v>311300010</v>
      </c>
      <c r="O435" t="str">
        <f t="shared" si="151"/>
        <v>次</v>
      </c>
      <c r="P435" t="str">
        <f t="shared" si="153"/>
        <v>治疗费</v>
      </c>
    </row>
    <row r="436" spans="1:16">
      <c r="A436" t="str">
        <f>"鞘内注射"</f>
        <v>鞘内注射</v>
      </c>
      <c r="B436" t="str">
        <f>"311300010-2"</f>
        <v>311300010-2</v>
      </c>
      <c r="C436" t="str">
        <f t="shared" si="152"/>
        <v>其他</v>
      </c>
      <c r="D436" t="str">
        <f>"003113000100000"</f>
        <v>003113000100000</v>
      </c>
      <c r="G436">
        <v>65</v>
      </c>
      <c r="I436" t="str">
        <f t="shared" ref="I436:I440" si="154">"次"</f>
        <v>次</v>
      </c>
      <c r="K436" t="str">
        <f>"QNZS"</f>
        <v>QNZS</v>
      </c>
      <c r="L436" t="str">
        <f>"AMIT"</f>
        <v>AMIT</v>
      </c>
      <c r="M436">
        <v>65</v>
      </c>
      <c r="N436">
        <v>311300010</v>
      </c>
      <c r="O436" t="str">
        <f t="shared" si="151"/>
        <v>次</v>
      </c>
      <c r="P436" t="str">
        <f t="shared" si="153"/>
        <v>治疗费</v>
      </c>
    </row>
    <row r="437" spans="1:16">
      <c r="A437" t="str">
        <f>"皮肤赘生物电烧治疗"</f>
        <v>皮肤赘生物电烧治疗</v>
      </c>
      <c r="B437">
        <v>311400014</v>
      </c>
      <c r="C437" t="str">
        <f t="shared" si="152"/>
        <v>其他</v>
      </c>
      <c r="D437" t="str">
        <f>"003114000140000"</f>
        <v>003114000140000</v>
      </c>
      <c r="G437">
        <v>7.5</v>
      </c>
      <c r="I437" t="str">
        <f t="shared" si="154"/>
        <v>次</v>
      </c>
      <c r="K437" t="str">
        <f>"PFZSWDSZL"</f>
        <v>PFZSWDSZL</v>
      </c>
      <c r="L437" t="str">
        <f>"HEGTTJOIU"</f>
        <v>HEGTTJOIU</v>
      </c>
      <c r="M437">
        <v>7.5</v>
      </c>
      <c r="N437">
        <v>311400014</v>
      </c>
      <c r="O437" t="str">
        <f t="shared" si="151"/>
        <v>次</v>
      </c>
      <c r="P437" t="str">
        <f t="shared" si="153"/>
        <v>治疗费</v>
      </c>
    </row>
    <row r="438" spans="1:16">
      <c r="A438" t="str">
        <f>"拔甲治疗"</f>
        <v>拔甲治疗</v>
      </c>
      <c r="B438">
        <v>311400022</v>
      </c>
      <c r="C438" t="str">
        <f t="shared" si="152"/>
        <v>其他</v>
      </c>
      <c r="D438" t="str">
        <f>"003114000220000"</f>
        <v>003114000220000</v>
      </c>
      <c r="G438">
        <v>38</v>
      </c>
      <c r="I438" t="str">
        <f t="shared" si="154"/>
        <v>次</v>
      </c>
      <c r="K438" t="str">
        <f>"BJZL"</f>
        <v>BJZL</v>
      </c>
      <c r="L438" t="str">
        <f>"RLIU"</f>
        <v>RLIU</v>
      </c>
      <c r="M438">
        <v>38</v>
      </c>
      <c r="N438">
        <v>311400022</v>
      </c>
      <c r="O438" t="str">
        <f t="shared" si="151"/>
        <v>次</v>
      </c>
      <c r="P438" t="str">
        <f t="shared" si="153"/>
        <v>治疗费</v>
      </c>
    </row>
    <row r="439" spans="1:16">
      <c r="A439" t="str">
        <f>"皮肤溃疡清创术"</f>
        <v>皮肤溃疡清创术</v>
      </c>
      <c r="B439">
        <v>311400027</v>
      </c>
      <c r="C439" t="str">
        <f t="shared" si="152"/>
        <v>其他</v>
      </c>
      <c r="D439" t="str">
        <f>"003114000270000"</f>
        <v>003114000270000</v>
      </c>
      <c r="G439">
        <v>15</v>
      </c>
      <c r="I439" t="str">
        <f t="shared" si="154"/>
        <v>次</v>
      </c>
      <c r="K439" t="str">
        <f>"PFKYQCS"</f>
        <v>PFKYQCS</v>
      </c>
      <c r="L439" t="str">
        <f>"HEIUIWS"</f>
        <v>HEIUIWS</v>
      </c>
      <c r="M439">
        <v>15</v>
      </c>
      <c r="N439">
        <v>311400027</v>
      </c>
      <c r="O439" t="str">
        <f>"每创面"</f>
        <v>每创面</v>
      </c>
      <c r="P439" t="str">
        <f t="shared" ref="P439:P451" si="155">"手术费"</f>
        <v>手术费</v>
      </c>
    </row>
    <row r="440" spans="1:16">
      <c r="A440" t="str">
        <f>"二氧化碳(CO2)激光治疗"</f>
        <v>二氧化碳(CO2)激光治疗</v>
      </c>
      <c r="B440">
        <v>311400033</v>
      </c>
      <c r="C440" t="str">
        <f t="shared" si="152"/>
        <v>其他</v>
      </c>
      <c r="D440" t="str">
        <f>"003114000330000"</f>
        <v>003114000330000</v>
      </c>
      <c r="G440">
        <v>29</v>
      </c>
      <c r="I440" t="str">
        <f t="shared" si="154"/>
        <v>次</v>
      </c>
      <c r="K440" t="str">
        <f>"EYHT(CO2)JGZL"</f>
        <v>EYHT(CO2)JGZL</v>
      </c>
      <c r="L440" t="str">
        <f>"FRWD(co2)IIIU"</f>
        <v>FRWD(co2)IIIU</v>
      </c>
      <c r="M440">
        <v>29</v>
      </c>
      <c r="N440">
        <v>311400033</v>
      </c>
      <c r="O440" t="str">
        <f>"每个 皮损"</f>
        <v>每个 皮损</v>
      </c>
      <c r="P440" t="str">
        <f>"治疗费"</f>
        <v>治疗费</v>
      </c>
    </row>
    <row r="441" spans="1:16">
      <c r="A441" t="str">
        <f>"烧伤换药"</f>
        <v>烧伤换药</v>
      </c>
      <c r="B441">
        <v>311400056</v>
      </c>
      <c r="C441" t="str">
        <f t="shared" si="152"/>
        <v>其他</v>
      </c>
      <c r="D441" t="str">
        <f>"003114000560000"</f>
        <v>003114000560000</v>
      </c>
      <c r="G441">
        <v>28</v>
      </c>
      <c r="I441" t="str">
        <f>"1%体表面"</f>
        <v>1%体表面</v>
      </c>
      <c r="K441" t="str">
        <f>"SSHY"</f>
        <v>SSHY</v>
      </c>
      <c r="L441" t="str">
        <f>"OWRA"</f>
        <v>OWRA</v>
      </c>
      <c r="M441">
        <v>28</v>
      </c>
      <c r="N441">
        <v>311400056</v>
      </c>
      <c r="O441" t="str">
        <f>"1%体表面"</f>
        <v>1%体表面</v>
      </c>
      <c r="P441" t="str">
        <f>"治疗费"</f>
        <v>治疗费</v>
      </c>
    </row>
    <row r="442" spans="1:16">
      <c r="A442" t="str">
        <f>"乳牙拔除术"</f>
        <v>乳牙拔除术</v>
      </c>
      <c r="B442">
        <v>330604001</v>
      </c>
      <c r="C442" t="str">
        <f t="shared" ref="C442:C447" si="156">"手术"</f>
        <v>手术</v>
      </c>
      <c r="D442" t="str">
        <f>"003306040010000"</f>
        <v>003306040010000</v>
      </c>
      <c r="G442">
        <v>7.7</v>
      </c>
      <c r="I442" t="str">
        <f t="shared" ref="I442:I447" si="157">"每牙"</f>
        <v>每牙</v>
      </c>
      <c r="K442" t="str">
        <f>"RYBCS"</f>
        <v>RYBCS</v>
      </c>
      <c r="L442" t="str">
        <f>"EARBS"</f>
        <v>EARBS</v>
      </c>
      <c r="M442">
        <v>7.7</v>
      </c>
      <c r="N442">
        <v>330604001</v>
      </c>
      <c r="O442" t="str">
        <f t="shared" ref="O442:O447" si="158">"每牙"</f>
        <v>每牙</v>
      </c>
      <c r="P442" t="str">
        <f t="shared" si="155"/>
        <v>手术费</v>
      </c>
    </row>
    <row r="443" spans="1:16">
      <c r="A443" t="str">
        <f>"前牙拔除术"</f>
        <v>前牙拔除术</v>
      </c>
      <c r="B443">
        <v>330604002</v>
      </c>
      <c r="C443" t="str">
        <f t="shared" si="156"/>
        <v>手术</v>
      </c>
      <c r="D443" t="str">
        <f>"003306040020000"</f>
        <v>003306040020000</v>
      </c>
      <c r="G443">
        <v>16</v>
      </c>
      <c r="I443" t="str">
        <f t="shared" si="157"/>
        <v>每牙</v>
      </c>
      <c r="K443" t="str">
        <f>"QYBCS"</f>
        <v>QYBCS</v>
      </c>
      <c r="L443" t="str">
        <f>"UARBS"</f>
        <v>UARBS</v>
      </c>
      <c r="M443">
        <v>16</v>
      </c>
      <c r="N443">
        <v>330604002</v>
      </c>
      <c r="O443" t="str">
        <f t="shared" si="158"/>
        <v>每牙</v>
      </c>
      <c r="P443" t="str">
        <f t="shared" si="155"/>
        <v>手术费</v>
      </c>
    </row>
    <row r="444" spans="1:16">
      <c r="A444" t="str">
        <f>"前磨牙拔除术"</f>
        <v>前磨牙拔除术</v>
      </c>
      <c r="B444">
        <v>330604003</v>
      </c>
      <c r="C444" t="str">
        <f t="shared" si="156"/>
        <v>手术</v>
      </c>
      <c r="D444" t="str">
        <f>"003306040030000"</f>
        <v>003306040030000</v>
      </c>
      <c r="G444">
        <v>22</v>
      </c>
      <c r="I444" t="str">
        <f t="shared" si="157"/>
        <v>每牙</v>
      </c>
      <c r="K444" t="str">
        <f>"QMYBCS"</f>
        <v>QMYBCS</v>
      </c>
      <c r="L444" t="str">
        <f>"UYARBS"</f>
        <v>UYARBS</v>
      </c>
      <c r="M444">
        <v>22</v>
      </c>
      <c r="N444">
        <v>330604003</v>
      </c>
      <c r="O444" t="str">
        <f t="shared" si="158"/>
        <v>每牙</v>
      </c>
      <c r="P444" t="str">
        <f t="shared" si="155"/>
        <v>手术费</v>
      </c>
    </row>
    <row r="445" spans="1:16">
      <c r="A445" t="str">
        <f>"磨牙拔除术"</f>
        <v>磨牙拔除术</v>
      </c>
      <c r="B445">
        <v>330604004</v>
      </c>
      <c r="C445" t="str">
        <f t="shared" si="156"/>
        <v>手术</v>
      </c>
      <c r="D445" t="str">
        <f>"003306040040000"</f>
        <v>003306040040000</v>
      </c>
      <c r="G445">
        <v>27</v>
      </c>
      <c r="I445" t="str">
        <f t="shared" si="157"/>
        <v>每牙</v>
      </c>
      <c r="K445" t="str">
        <f>"MYBCS"</f>
        <v>MYBCS</v>
      </c>
      <c r="L445" t="str">
        <f>"YARBS"</f>
        <v>YARBS</v>
      </c>
      <c r="M445">
        <v>27</v>
      </c>
      <c r="N445">
        <v>330604004</v>
      </c>
      <c r="O445" t="str">
        <f t="shared" si="158"/>
        <v>每牙</v>
      </c>
      <c r="P445" t="str">
        <f t="shared" si="155"/>
        <v>手术费</v>
      </c>
    </row>
    <row r="446" spans="1:16">
      <c r="A446" t="str">
        <f>"复杂牙拔除术"</f>
        <v>复杂牙拔除术</v>
      </c>
      <c r="B446">
        <v>330604005</v>
      </c>
      <c r="C446" t="str">
        <f t="shared" si="156"/>
        <v>手术</v>
      </c>
      <c r="D446" t="str">
        <f>"003306040050000"</f>
        <v>003306040050000</v>
      </c>
      <c r="G446">
        <v>50</v>
      </c>
      <c r="I446" t="str">
        <f t="shared" si="157"/>
        <v>每牙</v>
      </c>
      <c r="K446" t="str">
        <f>"FZYBCS"</f>
        <v>FZYBCS</v>
      </c>
      <c r="L446" t="str">
        <f>"TVARBS"</f>
        <v>TVARBS</v>
      </c>
      <c r="M446">
        <v>50</v>
      </c>
      <c r="N446">
        <v>330604005</v>
      </c>
      <c r="O446" t="str">
        <f t="shared" si="158"/>
        <v>每牙</v>
      </c>
      <c r="P446" t="str">
        <f t="shared" si="155"/>
        <v>手术费</v>
      </c>
    </row>
    <row r="447" spans="1:16">
      <c r="A447" t="str">
        <f>"阻生牙拔除术"</f>
        <v>阻生牙拔除术</v>
      </c>
      <c r="B447">
        <v>330604006</v>
      </c>
      <c r="C447" t="str">
        <f t="shared" si="156"/>
        <v>手术</v>
      </c>
      <c r="D447" t="str">
        <f>"003306040060000"</f>
        <v>003306040060000</v>
      </c>
      <c r="G447">
        <v>122</v>
      </c>
      <c r="I447" t="str">
        <f t="shared" si="157"/>
        <v>每牙</v>
      </c>
      <c r="K447" t="str">
        <f>"ZSYBCS"</f>
        <v>ZSYBCS</v>
      </c>
      <c r="L447" t="str">
        <f>"BTARBS"</f>
        <v>BTARBS</v>
      </c>
      <c r="M447">
        <v>122</v>
      </c>
      <c r="N447">
        <v>330604006</v>
      </c>
      <c r="O447" t="str">
        <f t="shared" si="158"/>
        <v>每牙</v>
      </c>
      <c r="P447" t="str">
        <f t="shared" si="155"/>
        <v>手术费</v>
      </c>
    </row>
    <row r="448" spans="1:16">
      <c r="A448" t="str">
        <f>"手(脚)外伤清创术"</f>
        <v>手(脚)外伤清创术</v>
      </c>
      <c r="B448">
        <v>331521008</v>
      </c>
      <c r="C448" t="str">
        <f>"其他"</f>
        <v>其他</v>
      </c>
      <c r="D448" t="str">
        <f>"003315210080000"</f>
        <v>003315210080000</v>
      </c>
      <c r="G448">
        <v>162</v>
      </c>
      <c r="I448">
        <v>1</v>
      </c>
      <c r="K448" t="str">
        <f>"S(J)WSQCS"</f>
        <v>S(J)WSQCS</v>
      </c>
      <c r="L448" t="str">
        <f>"REQWIWS"</f>
        <v>REQWIWS</v>
      </c>
      <c r="M448">
        <v>162</v>
      </c>
      <c r="N448">
        <v>331521008</v>
      </c>
      <c r="O448" t="str">
        <f>"每指"</f>
        <v>每指</v>
      </c>
      <c r="P448" t="str">
        <f t="shared" si="155"/>
        <v>手术费</v>
      </c>
    </row>
    <row r="449" spans="1:16">
      <c r="A449" t="str">
        <f>"脓肿切开引流术"</f>
        <v>脓肿切开引流术</v>
      </c>
      <c r="B449">
        <v>331602001</v>
      </c>
      <c r="C449" t="str">
        <f t="shared" ref="C449:C451" si="159">"手术"</f>
        <v>手术</v>
      </c>
      <c r="D449" t="str">
        <f>"003316020010000"</f>
        <v>003316020010000</v>
      </c>
      <c r="G449">
        <v>108</v>
      </c>
      <c r="I449" t="str">
        <f t="shared" ref="I449:I456" si="160">"次"</f>
        <v>次</v>
      </c>
      <c r="K449" t="str">
        <f>"NZQKYLS"</f>
        <v>NZQKYLS</v>
      </c>
      <c r="L449" t="str">
        <f>"EEAGXIS"</f>
        <v>EEAGXIS</v>
      </c>
      <c r="M449">
        <v>108</v>
      </c>
      <c r="N449">
        <v>331602001</v>
      </c>
      <c r="O449" t="str">
        <f>"次"</f>
        <v>次</v>
      </c>
      <c r="P449" t="str">
        <f t="shared" si="155"/>
        <v>手术费</v>
      </c>
    </row>
    <row r="450" spans="1:16">
      <c r="A450" t="str">
        <f>"体表异物取出术"</f>
        <v>体表异物取出术</v>
      </c>
      <c r="B450">
        <v>331602002</v>
      </c>
      <c r="C450" t="str">
        <f t="shared" si="159"/>
        <v>手术</v>
      </c>
      <c r="D450" t="str">
        <f>"003316020020000"</f>
        <v>003316020020000</v>
      </c>
      <c r="G450">
        <v>120</v>
      </c>
      <c r="I450" t="str">
        <f t="shared" si="160"/>
        <v>次</v>
      </c>
      <c r="K450" t="str">
        <f>"TBYWQCS"</f>
        <v>TBYWQCS</v>
      </c>
      <c r="L450" t="str">
        <f>"WGNTBBS"</f>
        <v>WGNTBBS</v>
      </c>
      <c r="M450">
        <v>120</v>
      </c>
      <c r="N450">
        <v>331602002</v>
      </c>
      <c r="O450" t="str">
        <f>"次"</f>
        <v>次</v>
      </c>
      <c r="P450" t="str">
        <f t="shared" si="155"/>
        <v>手术费</v>
      </c>
    </row>
    <row r="451" spans="1:16">
      <c r="A451" t="str">
        <f>"浅表肿物切除术"</f>
        <v>浅表肿物切除术</v>
      </c>
      <c r="B451">
        <v>331602004</v>
      </c>
      <c r="C451" t="str">
        <f t="shared" si="159"/>
        <v>手术</v>
      </c>
      <c r="D451" t="str">
        <f t="shared" ref="D451:D455" si="161">"003316020040000"</f>
        <v>003316020040000</v>
      </c>
      <c r="G451">
        <v>120</v>
      </c>
      <c r="I451" t="str">
        <f t="shared" si="160"/>
        <v>次</v>
      </c>
      <c r="K451" t="str">
        <f>"QBZWQCS"</f>
        <v>QBZWQCS</v>
      </c>
      <c r="L451" t="str">
        <f>"IGETABS"</f>
        <v>IGETABS</v>
      </c>
      <c r="M451">
        <v>120</v>
      </c>
      <c r="N451">
        <v>331602004</v>
      </c>
      <c r="O451" t="str">
        <f t="shared" ref="O451:O455" si="162">"每个 肿物"</f>
        <v>每个 肿物</v>
      </c>
      <c r="P451" t="str">
        <f t="shared" si="155"/>
        <v>手术费</v>
      </c>
    </row>
    <row r="452" spans="1:16">
      <c r="A452" t="str">
        <f>"皮脂腺囊肿切除术"</f>
        <v>皮脂腺囊肿切除术</v>
      </c>
      <c r="B452" t="str">
        <f>"331602004-2"</f>
        <v>331602004-2</v>
      </c>
      <c r="C452" t="str">
        <f>"其他"</f>
        <v>其他</v>
      </c>
      <c r="D452" t="str">
        <f t="shared" si="161"/>
        <v>003316020040000</v>
      </c>
      <c r="G452">
        <v>120</v>
      </c>
      <c r="I452" t="str">
        <f t="shared" si="160"/>
        <v>次</v>
      </c>
      <c r="K452" t="str">
        <f>"PZXNZQCS"</f>
        <v>PZXNZQCS</v>
      </c>
      <c r="L452" t="str">
        <f>"HEEGEABS"</f>
        <v>HEEGEABS</v>
      </c>
      <c r="M452">
        <v>120</v>
      </c>
      <c r="N452">
        <v>331602004</v>
      </c>
      <c r="O452" t="str">
        <f t="shared" si="162"/>
        <v>每个 肿物</v>
      </c>
      <c r="P452" t="str">
        <f>"手术治疗费"</f>
        <v>手术治疗费</v>
      </c>
    </row>
    <row r="453" spans="1:16">
      <c r="A453" t="str">
        <f>"纤维瘤切除术"</f>
        <v>纤维瘤切除术</v>
      </c>
      <c r="B453" t="str">
        <f>"331602004-3"</f>
        <v>331602004-3</v>
      </c>
      <c r="C453" t="str">
        <f t="shared" ref="C453:C455" si="163">"手术"</f>
        <v>手术</v>
      </c>
      <c r="D453" t="str">
        <f t="shared" si="161"/>
        <v>003316020040000</v>
      </c>
      <c r="G453">
        <v>120</v>
      </c>
      <c r="I453" t="str">
        <f t="shared" si="160"/>
        <v>次</v>
      </c>
      <c r="K453" t="str">
        <f>"XWLQCS"</f>
        <v>XWLQCS</v>
      </c>
      <c r="L453" t="str">
        <f>"XXUABS"</f>
        <v>XXUABS</v>
      </c>
      <c r="M453">
        <v>120</v>
      </c>
      <c r="N453">
        <v>331602004</v>
      </c>
      <c r="O453" t="str">
        <f t="shared" si="162"/>
        <v>每个 肿物</v>
      </c>
      <c r="P453" t="str">
        <f t="shared" ref="P453:P455" si="164">"手术费"</f>
        <v>手术费</v>
      </c>
    </row>
    <row r="454" spans="1:16">
      <c r="A454" t="str">
        <f>"疣切除术"</f>
        <v>疣切除术</v>
      </c>
      <c r="B454" t="str">
        <f>"331602004-4"</f>
        <v>331602004-4</v>
      </c>
      <c r="C454" t="str">
        <f t="shared" si="163"/>
        <v>手术</v>
      </c>
      <c r="D454" t="str">
        <f t="shared" si="161"/>
        <v>003316020040000</v>
      </c>
      <c r="G454">
        <v>120</v>
      </c>
      <c r="I454" t="str">
        <f t="shared" si="160"/>
        <v>次</v>
      </c>
      <c r="K454" t="str">
        <f>"YQCS"</f>
        <v>YQCS</v>
      </c>
      <c r="L454" t="str">
        <f>"UABS"</f>
        <v>UABS</v>
      </c>
      <c r="M454">
        <v>120</v>
      </c>
      <c r="N454">
        <v>331602004</v>
      </c>
      <c r="O454" t="str">
        <f t="shared" si="162"/>
        <v>每个 肿物</v>
      </c>
      <c r="P454" t="str">
        <f t="shared" si="164"/>
        <v>手术费</v>
      </c>
    </row>
    <row r="455" spans="1:16">
      <c r="A455" t="str">
        <f>"痣切除术"</f>
        <v>痣切除术</v>
      </c>
      <c r="B455" t="str">
        <f>"331602004-5"</f>
        <v>331602004-5</v>
      </c>
      <c r="C455" t="str">
        <f t="shared" si="163"/>
        <v>手术</v>
      </c>
      <c r="D455" t="str">
        <f t="shared" si="161"/>
        <v>003316020040000</v>
      </c>
      <c r="G455">
        <v>120</v>
      </c>
      <c r="I455" t="str">
        <f t="shared" si="160"/>
        <v>次</v>
      </c>
      <c r="K455" t="str">
        <f>"ZQCS"</f>
        <v>ZQCS</v>
      </c>
      <c r="L455" t="str">
        <f>"UABS"</f>
        <v>UABS</v>
      </c>
      <c r="M455">
        <v>120</v>
      </c>
      <c r="N455">
        <v>331602004</v>
      </c>
      <c r="O455" t="str">
        <f t="shared" si="162"/>
        <v>每个 肿物</v>
      </c>
      <c r="P455" t="str">
        <f t="shared" si="164"/>
        <v>手术费</v>
      </c>
    </row>
    <row r="456" spans="1:16">
      <c r="A456" t="str">
        <f>"红外线治疗"</f>
        <v>红外线治疗</v>
      </c>
      <c r="B456">
        <v>340100001</v>
      </c>
      <c r="C456" t="str">
        <f t="shared" ref="C456:C459" si="165">"治疗"</f>
        <v>治疗</v>
      </c>
      <c r="D456" t="str">
        <f>"003401000010000"</f>
        <v>003401000010000</v>
      </c>
      <c r="G456">
        <v>7</v>
      </c>
      <c r="I456" t="str">
        <f t="shared" si="160"/>
        <v>次</v>
      </c>
      <c r="K456" t="str">
        <f>"HWXZL"</f>
        <v>HWXZL</v>
      </c>
      <c r="L456" t="str">
        <f>"XQXIU"</f>
        <v>XQXIU</v>
      </c>
      <c r="M456">
        <v>7</v>
      </c>
      <c r="N456">
        <v>340100001</v>
      </c>
      <c r="O456" t="str">
        <f t="shared" ref="O456:O459" si="166">"每部位"</f>
        <v>每部位</v>
      </c>
      <c r="P456" t="str">
        <f t="shared" ref="P456:P471" si="167">"治疗费"</f>
        <v>治疗费</v>
      </c>
    </row>
    <row r="457" spans="1:16">
      <c r="A457" t="str">
        <f>"低频脉冲功能性电刺激治疗"</f>
        <v>低频脉冲功能性电刺激治疗</v>
      </c>
      <c r="B457">
        <v>340100009</v>
      </c>
      <c r="C457" t="str">
        <f t="shared" ref="C457:C463" si="168">"其他"</f>
        <v>其他</v>
      </c>
      <c r="D457" t="str">
        <f>"003401000090000"</f>
        <v>003401000090000</v>
      </c>
      <c r="G457">
        <v>10</v>
      </c>
      <c r="I457" t="str">
        <f>"每部位"</f>
        <v>每部位</v>
      </c>
      <c r="K457" t="str">
        <f>"DPMCGNXDCJZL"</f>
        <v>DPMCGNXDCJZL</v>
      </c>
      <c r="L457" t="str">
        <f>"WHEUACNJGIIU"</f>
        <v>WHEUACNJGIIU</v>
      </c>
      <c r="M457">
        <v>10</v>
      </c>
      <c r="N457">
        <v>340100009</v>
      </c>
      <c r="O457" t="str">
        <f t="shared" si="166"/>
        <v>每部位</v>
      </c>
      <c r="P457" t="str">
        <f t="shared" si="167"/>
        <v>治疗费</v>
      </c>
    </row>
    <row r="458" spans="1:16">
      <c r="A458" t="str">
        <f>"中频脉冲电治疗"</f>
        <v>中频脉冲电治疗</v>
      </c>
      <c r="B458">
        <v>340100010</v>
      </c>
      <c r="C458" t="str">
        <f t="shared" si="165"/>
        <v>治疗</v>
      </c>
      <c r="D458" t="str">
        <f>"003401000100000"</f>
        <v>003401000100000</v>
      </c>
      <c r="G458">
        <v>10</v>
      </c>
      <c r="I458" t="str">
        <f>"部位"</f>
        <v>部位</v>
      </c>
      <c r="K458" t="str">
        <f>"ZPMCDZL"</f>
        <v>ZPMCDZL</v>
      </c>
      <c r="L458" t="str">
        <f>"KHEUJIU"</f>
        <v>KHEUJIU</v>
      </c>
      <c r="M458">
        <v>10</v>
      </c>
      <c r="N458">
        <v>340100010</v>
      </c>
      <c r="O458" t="str">
        <f t="shared" si="166"/>
        <v>每部位</v>
      </c>
      <c r="P458" t="str">
        <f t="shared" si="167"/>
        <v>治疗费</v>
      </c>
    </row>
    <row r="459" spans="1:16">
      <c r="A459" t="str">
        <f>"干扰电治疗"</f>
        <v>干扰电治疗</v>
      </c>
      <c r="B459" t="str">
        <f>"340100010-2"</f>
        <v>340100010-2</v>
      </c>
      <c r="C459" t="str">
        <f t="shared" si="165"/>
        <v>治疗</v>
      </c>
      <c r="D459" t="str">
        <f>"003401000100000"</f>
        <v>003401000100000</v>
      </c>
      <c r="G459">
        <v>10</v>
      </c>
      <c r="I459" t="str">
        <f>"部位"</f>
        <v>部位</v>
      </c>
      <c r="K459" t="str">
        <f>"GRDZL"</f>
        <v>GRDZL</v>
      </c>
      <c r="L459" t="str">
        <f>"FRJIU"</f>
        <v>FRJIU</v>
      </c>
      <c r="M459">
        <v>10</v>
      </c>
      <c r="N459">
        <v>340100010</v>
      </c>
      <c r="O459" t="str">
        <f t="shared" si="166"/>
        <v>每部位</v>
      </c>
      <c r="P459" t="str">
        <f t="shared" si="167"/>
        <v>治疗费</v>
      </c>
    </row>
    <row r="460" spans="1:16">
      <c r="A460" t="str">
        <f>"超声波治疗"</f>
        <v>超声波治疗</v>
      </c>
      <c r="B460">
        <v>340100017</v>
      </c>
      <c r="C460" t="str">
        <f t="shared" si="168"/>
        <v>其他</v>
      </c>
      <c r="D460" t="str">
        <f>"003401000170000"</f>
        <v>003401000170000</v>
      </c>
      <c r="G460">
        <v>13</v>
      </c>
      <c r="I460" t="str">
        <f t="shared" ref="I460:I463" si="169">"次"</f>
        <v>次</v>
      </c>
      <c r="K460" t="str">
        <f>"CSBZL"</f>
        <v>CSBZL</v>
      </c>
      <c r="L460" t="str">
        <f>"FFIIU"</f>
        <v>FFIIU</v>
      </c>
      <c r="M460">
        <v>13</v>
      </c>
      <c r="N460">
        <v>340100017</v>
      </c>
      <c r="O460" t="str">
        <f>"每5分钟"</f>
        <v>每5分钟</v>
      </c>
      <c r="P460" t="str">
        <f t="shared" si="167"/>
        <v>治疗费</v>
      </c>
    </row>
    <row r="461" spans="1:16">
      <c r="A461" t="str">
        <f>"超声波治疗联合治疗加收（每5分钟）"</f>
        <v>超声波治疗联合治疗加收（每5分钟）</v>
      </c>
      <c r="B461" t="str">
        <f>"340100017-a"</f>
        <v>340100017-a</v>
      </c>
      <c r="C461" t="str">
        <f t="shared" si="168"/>
        <v>其他</v>
      </c>
      <c r="D461" t="str">
        <f>"003401000170001"</f>
        <v>003401000170001</v>
      </c>
      <c r="G461">
        <v>5</v>
      </c>
      <c r="I461" t="str">
        <f t="shared" si="169"/>
        <v>次</v>
      </c>
      <c r="K461" t="str">
        <f>"CSBZLLHZLJSM5FZ"</f>
        <v>CSBZLLHZLJSM5FZ</v>
      </c>
      <c r="L461" t="str">
        <f>"FFIIUBWIULNT5WQ"</f>
        <v>FFIIUBWIULNT5WQ</v>
      </c>
      <c r="M461">
        <v>5</v>
      </c>
      <c r="N461" t="str">
        <f>"340100017-a"</f>
        <v>340100017-a</v>
      </c>
      <c r="O461" t="str">
        <f>"每5分钟"</f>
        <v>每5分钟</v>
      </c>
      <c r="P461" t="str">
        <f t="shared" si="167"/>
        <v>治疗费</v>
      </c>
    </row>
    <row r="462" spans="1:16">
      <c r="A462" t="str">
        <f>"牵引"</f>
        <v>牵引</v>
      </c>
      <c r="B462">
        <v>340100023</v>
      </c>
      <c r="C462" t="str">
        <f t="shared" si="168"/>
        <v>其他</v>
      </c>
      <c r="D462" t="str">
        <f>"003401000230000"</f>
        <v>003401000230000</v>
      </c>
      <c r="G462">
        <v>35</v>
      </c>
      <c r="I462" t="str">
        <f t="shared" si="169"/>
        <v>次</v>
      </c>
      <c r="K462" t="str">
        <f>"QY"</f>
        <v>QY</v>
      </c>
      <c r="L462" t="str">
        <f>"DX"</f>
        <v>DX</v>
      </c>
      <c r="M462">
        <v>35</v>
      </c>
      <c r="N462">
        <v>340100023</v>
      </c>
      <c r="O462" t="str">
        <f t="shared" ref="O462:O470" si="170">"次"</f>
        <v>次</v>
      </c>
      <c r="P462" t="str">
        <f t="shared" si="167"/>
        <v>治疗费</v>
      </c>
    </row>
    <row r="463" spans="1:16">
      <c r="A463" t="str">
        <f>"全身肌力训练"</f>
        <v>全身肌力训练</v>
      </c>
      <c r="B463" t="str">
        <f>"340200020-4"</f>
        <v>340200020-4</v>
      </c>
      <c r="C463" t="str">
        <f t="shared" si="168"/>
        <v>其他</v>
      </c>
      <c r="D463" t="str">
        <f>"003402000200000"</f>
        <v>003402000200000</v>
      </c>
      <c r="G463">
        <v>16</v>
      </c>
      <c r="I463" t="str">
        <f t="shared" si="169"/>
        <v>次</v>
      </c>
      <c r="K463" t="str">
        <f>"QSJLXL"</f>
        <v>QSJLXL</v>
      </c>
      <c r="M463">
        <v>16</v>
      </c>
      <c r="N463">
        <v>340200020</v>
      </c>
      <c r="O463" t="str">
        <f t="shared" si="170"/>
        <v>次</v>
      </c>
      <c r="P463" t="str">
        <f t="shared" si="167"/>
        <v>治疗费</v>
      </c>
    </row>
    <row r="464" spans="1:16">
      <c r="A464" t="str">
        <f>"各关节活动度训练"</f>
        <v>各关节活动度训练</v>
      </c>
      <c r="B464" t="str">
        <f>"340200020-8"</f>
        <v>340200020-8</v>
      </c>
      <c r="C464" t="str">
        <f>"治疗"</f>
        <v>治疗</v>
      </c>
      <c r="D464" t="str">
        <f>"003402000200000"</f>
        <v>003402000200000</v>
      </c>
      <c r="G464">
        <v>16</v>
      </c>
      <c r="I464" t="str">
        <f>"40分钟/次"</f>
        <v>40分钟/次</v>
      </c>
      <c r="K464" t="str">
        <f>"GGJHDDXL"</f>
        <v>GGJHDDXL</v>
      </c>
      <c r="L464" t="str">
        <f>"TUAIFYYX"</f>
        <v>TUAIFYYX</v>
      </c>
      <c r="M464">
        <v>16</v>
      </c>
      <c r="N464">
        <v>340200020</v>
      </c>
      <c r="O464" t="str">
        <f t="shared" si="170"/>
        <v>次</v>
      </c>
      <c r="P464" t="str">
        <f t="shared" si="167"/>
        <v>治疗费</v>
      </c>
    </row>
    <row r="465" spans="1:16">
      <c r="A465" t="str">
        <f>"平衡功能训练"</f>
        <v>平衡功能训练</v>
      </c>
      <c r="B465">
        <v>340200024</v>
      </c>
      <c r="C465" t="str">
        <f t="shared" ref="C465:C470" si="171">"其他"</f>
        <v>其他</v>
      </c>
      <c r="D465" t="str">
        <f>"003402000240000"</f>
        <v>003402000240000</v>
      </c>
      <c r="G465">
        <v>15</v>
      </c>
      <c r="I465" t="str">
        <f t="shared" ref="I465:I470" si="172">"次"</f>
        <v>次</v>
      </c>
      <c r="K465" t="str">
        <f>"PHGNXL"</f>
        <v>PHGNXL</v>
      </c>
      <c r="L465" t="str">
        <f>"GTACYX"</f>
        <v>GTACYX</v>
      </c>
      <c r="M465">
        <v>15</v>
      </c>
      <c r="N465">
        <v>340200024</v>
      </c>
      <c r="O465" t="str">
        <f t="shared" si="170"/>
        <v>次</v>
      </c>
      <c r="P465" t="str">
        <f t="shared" si="167"/>
        <v>治疗费</v>
      </c>
    </row>
    <row r="466" spans="1:16">
      <c r="A466" t="str">
        <f>"手功能训练"</f>
        <v>手功能训练</v>
      </c>
      <c r="B466">
        <v>340200025</v>
      </c>
      <c r="C466" t="str">
        <f t="shared" si="171"/>
        <v>其他</v>
      </c>
      <c r="D466" t="str">
        <f>"003402000250000"</f>
        <v>003402000250000</v>
      </c>
      <c r="G466">
        <v>26</v>
      </c>
      <c r="I466" t="str">
        <f t="shared" si="172"/>
        <v>次</v>
      </c>
      <c r="K466" t="str">
        <f>"SGNXL"</f>
        <v>SGNXL</v>
      </c>
      <c r="L466" t="str">
        <f>"RACYX"</f>
        <v>RACYX</v>
      </c>
      <c r="M466">
        <v>26</v>
      </c>
      <c r="N466">
        <v>340200025</v>
      </c>
      <c r="O466" t="str">
        <f t="shared" si="170"/>
        <v>次</v>
      </c>
      <c r="P466" t="str">
        <f t="shared" si="167"/>
        <v>治疗费</v>
      </c>
    </row>
    <row r="467" spans="1:16">
      <c r="A467" t="str">
        <f>"关节松动训练"</f>
        <v>关节松动训练</v>
      </c>
      <c r="B467">
        <v>340200026</v>
      </c>
      <c r="C467" t="str">
        <f t="shared" si="171"/>
        <v>其他</v>
      </c>
      <c r="D467" t="str">
        <f>"003402000260000"</f>
        <v>003402000260000</v>
      </c>
      <c r="G467">
        <v>45</v>
      </c>
      <c r="I467" t="str">
        <f t="shared" si="172"/>
        <v>次</v>
      </c>
      <c r="K467" t="str">
        <f>"GJSDXL"</f>
        <v>GJSDXL</v>
      </c>
      <c r="L467" t="str">
        <f>"UASFYX"</f>
        <v>UASFYX</v>
      </c>
      <c r="M467">
        <v>45</v>
      </c>
      <c r="N467">
        <v>340200026</v>
      </c>
      <c r="O467" t="str">
        <f t="shared" si="170"/>
        <v>次</v>
      </c>
      <c r="P467" t="str">
        <f t="shared" si="167"/>
        <v>治疗费</v>
      </c>
    </row>
    <row r="468" spans="1:16">
      <c r="A468" t="str">
        <f>"作业疗法"</f>
        <v>作业疗法</v>
      </c>
      <c r="B468">
        <v>340200031</v>
      </c>
      <c r="C468" t="str">
        <f t="shared" si="171"/>
        <v>其他</v>
      </c>
      <c r="D468" t="str">
        <f>"003402000310000"</f>
        <v>003402000310000</v>
      </c>
      <c r="G468">
        <v>26</v>
      </c>
      <c r="I468" t="str">
        <f t="shared" si="172"/>
        <v>次</v>
      </c>
      <c r="K468" t="str">
        <f>"ZYLF"</f>
        <v>ZYLF</v>
      </c>
      <c r="L468" t="str">
        <f>"WOUI"</f>
        <v>WOUI</v>
      </c>
      <c r="M468">
        <v>26</v>
      </c>
      <c r="N468">
        <v>340200031</v>
      </c>
      <c r="O468" t="str">
        <f t="shared" si="170"/>
        <v>次</v>
      </c>
      <c r="P468" t="str">
        <f t="shared" si="167"/>
        <v>治疗费</v>
      </c>
    </row>
    <row r="469" spans="1:16">
      <c r="A469" t="str">
        <f>"偏瘫肢体综合训练"</f>
        <v>偏瘫肢体综合训练</v>
      </c>
      <c r="B469">
        <v>340200040</v>
      </c>
      <c r="C469" t="str">
        <f t="shared" si="171"/>
        <v>其他</v>
      </c>
      <c r="D469" t="str">
        <f>"003402000400000"</f>
        <v>003402000400000</v>
      </c>
      <c r="G469">
        <v>60</v>
      </c>
      <c r="I469" t="str">
        <f t="shared" si="172"/>
        <v>次</v>
      </c>
      <c r="K469" t="str">
        <f>"PTZTZHXL"</f>
        <v>PTZTZHXL</v>
      </c>
      <c r="L469" t="str">
        <f>"WUEWXWYX"</f>
        <v>WUEWXWYX</v>
      </c>
      <c r="M469">
        <v>60</v>
      </c>
      <c r="N469">
        <v>340200040</v>
      </c>
      <c r="O469" t="str">
        <f t="shared" si="170"/>
        <v>次</v>
      </c>
      <c r="P469" t="str">
        <f t="shared" si="167"/>
        <v>治疗费</v>
      </c>
    </row>
    <row r="470" spans="1:16">
      <c r="A470" t="str">
        <f>"截瘫肢体综合训练"</f>
        <v>截瘫肢体综合训练</v>
      </c>
      <c r="B470">
        <v>340200042</v>
      </c>
      <c r="C470" t="str">
        <f t="shared" si="171"/>
        <v>其他</v>
      </c>
      <c r="D470" t="str">
        <f>"003402000420000"</f>
        <v>003402000420000</v>
      </c>
      <c r="G470">
        <v>50</v>
      </c>
      <c r="I470" t="str">
        <f t="shared" si="172"/>
        <v>次</v>
      </c>
      <c r="K470" t="str">
        <f>"JTZTZHXL"</f>
        <v>JTZTZHXL</v>
      </c>
      <c r="L470" t="str">
        <f>"FUEWXWYX"</f>
        <v>FUEWXWYX</v>
      </c>
      <c r="M470">
        <v>50</v>
      </c>
      <c r="N470">
        <v>340200042</v>
      </c>
      <c r="O470" t="str">
        <f t="shared" si="170"/>
        <v>次</v>
      </c>
      <c r="P470" t="str">
        <f t="shared" si="167"/>
        <v>治疗费</v>
      </c>
    </row>
    <row r="471" spans="1:16">
      <c r="A471" t="str">
        <f>"营养状况评定"</f>
        <v>营养状况评定</v>
      </c>
      <c r="B471" t="str">
        <f>"340200045-a"</f>
        <v>340200045-a</v>
      </c>
      <c r="C471" t="str">
        <f>"治疗"</f>
        <v>治疗</v>
      </c>
      <c r="D471" t="str">
        <f>"001102000000100"</f>
        <v>001102000000100</v>
      </c>
      <c r="G471">
        <v>70</v>
      </c>
      <c r="I471" t="str">
        <f>"每次"</f>
        <v>每次</v>
      </c>
      <c r="K471" t="str">
        <f>"YYZKPD"</f>
        <v>YYZKPD</v>
      </c>
      <c r="L471" t="str">
        <f>"AUUUYP"</f>
        <v>AUUUYP</v>
      </c>
      <c r="M471">
        <v>70</v>
      </c>
      <c r="N471" t="str">
        <f>"340200045-a"</f>
        <v>340200045-a</v>
      </c>
      <c r="O471" t="str">
        <f>"每次"</f>
        <v>每次</v>
      </c>
      <c r="P471" t="str">
        <f t="shared" si="167"/>
        <v>治疗费</v>
      </c>
    </row>
    <row r="472" spans="1:16">
      <c r="A472" t="str">
        <f>"全身脂肪分布检测"</f>
        <v>全身脂肪分布检测</v>
      </c>
      <c r="B472" t="str">
        <f>"340200047-a"</f>
        <v>340200047-a</v>
      </c>
      <c r="C472" t="str">
        <f>"检查"</f>
        <v>检查</v>
      </c>
      <c r="D472" t="str">
        <f>"001309000010000"</f>
        <v>001309000010000</v>
      </c>
      <c r="G472">
        <v>52</v>
      </c>
      <c r="I472" t="str">
        <f t="shared" ref="I472:I475" si="173">"次"</f>
        <v>次</v>
      </c>
      <c r="K472" t="str">
        <f>"QSZFFBJC"</f>
        <v>QSZFFBJC</v>
      </c>
      <c r="L472" t="str">
        <f>"WTEEWDSI"</f>
        <v>WTEEWDSI</v>
      </c>
      <c r="M472">
        <v>52</v>
      </c>
      <c r="N472" t="str">
        <f>"340200047-a"</f>
        <v>340200047-a</v>
      </c>
      <c r="O472" t="str">
        <f t="shared" ref="O472:O475" si="174">"次"</f>
        <v>次</v>
      </c>
      <c r="P472" t="str">
        <f>"检查费"</f>
        <v>检查费</v>
      </c>
    </row>
    <row r="473" spans="1:16">
      <c r="A473" t="str">
        <f>"下肢肌肉分布检测"</f>
        <v>下肢肌肉分布检测</v>
      </c>
      <c r="B473" t="str">
        <f>"340200047-c"</f>
        <v>340200047-c</v>
      </c>
      <c r="C473" t="str">
        <f>"检查"</f>
        <v>检查</v>
      </c>
      <c r="D473" t="str">
        <f>"003101000220000"</f>
        <v>003101000220000</v>
      </c>
      <c r="G473">
        <v>13</v>
      </c>
      <c r="I473" t="str">
        <f t="shared" ref="I473:I491" si="175">"项"</f>
        <v>项</v>
      </c>
      <c r="K473" t="str">
        <f>"XZJRFBJC"</f>
        <v>XZJRFBJC</v>
      </c>
      <c r="L473" t="str">
        <f>"GEEMWDSI"</f>
        <v>GEEMWDSI</v>
      </c>
      <c r="M473">
        <v>13</v>
      </c>
      <c r="N473" t="str">
        <f>"340200047-c"</f>
        <v>340200047-c</v>
      </c>
      <c r="O473" t="str">
        <f t="shared" ref="O473:O491" si="176">"项"</f>
        <v>项</v>
      </c>
      <c r="P473" t="str">
        <f>"检查费"</f>
        <v>检查费</v>
      </c>
    </row>
    <row r="474" spans="1:16">
      <c r="A474" t="str">
        <f>"煎药机煎药"</f>
        <v>煎药机煎药</v>
      </c>
      <c r="B474">
        <v>480000005</v>
      </c>
      <c r="C474" t="str">
        <f>"其他"</f>
        <v>其他</v>
      </c>
      <c r="D474" t="str">
        <f>"004800000050000"</f>
        <v>004800000050000</v>
      </c>
      <c r="G474">
        <v>2.2000000000000002</v>
      </c>
      <c r="I474" t="str">
        <f t="shared" si="173"/>
        <v>次</v>
      </c>
      <c r="K474" t="str">
        <f>"JYJJY"</f>
        <v>JYJJY</v>
      </c>
      <c r="L474" t="str">
        <f>"UASUA"</f>
        <v>UASUA</v>
      </c>
      <c r="M474">
        <v>3</v>
      </c>
      <c r="N474">
        <v>480000005</v>
      </c>
      <c r="O474" t="str">
        <f t="shared" si="174"/>
        <v>次</v>
      </c>
      <c r="P474" t="str">
        <f>"治疗费"</f>
        <v>治疗费</v>
      </c>
    </row>
    <row r="475" spans="1:16">
      <c r="A475" t="str">
        <f>"ABO红细胞定型（减免)"</f>
        <v>ABO红细胞定型（减免)</v>
      </c>
      <c r="B475" t="str">
        <f>"FY0067"</f>
        <v>FY0067</v>
      </c>
      <c r="C475" t="str">
        <f t="shared" ref="C475:C490" si="177">"检验"</f>
        <v>检验</v>
      </c>
      <c r="G475" t="str">
        <f t="shared" ref="G475:G488" si="178">"0"</f>
        <v>0</v>
      </c>
      <c r="I475" t="str">
        <f t="shared" si="173"/>
        <v>次</v>
      </c>
      <c r="K475" t="str">
        <f>"ABOHXBDXJM"</f>
        <v>ABOHXBDXJM</v>
      </c>
      <c r="L475" t="str">
        <f>"ABOXXEPGUQ"</f>
        <v>ABOXXEPGUQ</v>
      </c>
      <c r="M475" t="str">
        <f t="shared" ref="M475:M488" si="179">"0"</f>
        <v>0</v>
      </c>
      <c r="N475" t="str">
        <f>"260000001-a（JM）"</f>
        <v>260000001-a（JM）</v>
      </c>
      <c r="O475" t="str">
        <f t="shared" si="174"/>
        <v>次</v>
      </c>
      <c r="P475" t="str">
        <f t="shared" ref="P475:P490" si="180">"检验费"</f>
        <v>检验费</v>
      </c>
    </row>
    <row r="476" spans="1:16">
      <c r="A476" t="str">
        <f>"血细胞分析(五分类)(免费)"</f>
        <v>血细胞分析(五分类)(免费)</v>
      </c>
      <c r="B476" t="str">
        <f>"JM0006"</f>
        <v>JM0006</v>
      </c>
      <c r="C476" t="str">
        <f t="shared" si="177"/>
        <v>检验</v>
      </c>
      <c r="D476" t="str">
        <f>"002501010150000"</f>
        <v>002501010150000</v>
      </c>
      <c r="G476" t="str">
        <f t="shared" si="178"/>
        <v>0</v>
      </c>
      <c r="I476" t="str">
        <f t="shared" si="175"/>
        <v>项</v>
      </c>
      <c r="K476" t="str">
        <f>"XXBFXWFLMF"</f>
        <v>XXBFXWFLMF</v>
      </c>
      <c r="L476" t="str">
        <f>"TXEWSGWOQX"</f>
        <v>TXEWSGWOQX</v>
      </c>
      <c r="M476" t="str">
        <f t="shared" si="179"/>
        <v>0</v>
      </c>
      <c r="N476" t="str">
        <f>"250101015-b(JM)"</f>
        <v>250101015-b(JM)</v>
      </c>
      <c r="O476" t="str">
        <f t="shared" si="176"/>
        <v>项</v>
      </c>
      <c r="P476" t="str">
        <f t="shared" si="180"/>
        <v>检验费</v>
      </c>
    </row>
    <row r="477" spans="1:16">
      <c r="A477" t="str">
        <f>"血清白蛋白测定（免费）"</f>
        <v>血清白蛋白测定（免费）</v>
      </c>
      <c r="B477" t="str">
        <f>"JM0009"</f>
        <v>JM0009</v>
      </c>
      <c r="C477" t="str">
        <f t="shared" si="177"/>
        <v>检验</v>
      </c>
      <c r="D477" t="str">
        <f>"002503010020000"</f>
        <v>002503010020000</v>
      </c>
      <c r="G477" t="str">
        <f t="shared" si="178"/>
        <v>0</v>
      </c>
      <c r="I477" t="str">
        <f t="shared" si="175"/>
        <v>项</v>
      </c>
      <c r="K477" t="str">
        <f>"XQBDBCDMF"</f>
        <v>XQBDBCDMF</v>
      </c>
      <c r="L477" t="str">
        <f>"TIRNRIPQX"</f>
        <v>TIRNRIPQX</v>
      </c>
      <c r="M477" t="str">
        <f t="shared" si="179"/>
        <v>0</v>
      </c>
      <c r="N477" t="str">
        <f>"250301002-a(JM)"</f>
        <v>250301002-a(JM)</v>
      </c>
      <c r="O477" t="str">
        <f t="shared" si="176"/>
        <v>项</v>
      </c>
      <c r="P477" t="str">
        <f t="shared" si="180"/>
        <v>检验费</v>
      </c>
    </row>
    <row r="478" spans="1:16">
      <c r="A478" t="str">
        <f>"血清总胆红素测定（免费）"</f>
        <v>血清总胆红素测定（免费）</v>
      </c>
      <c r="B478" t="str">
        <f>"JM0010"</f>
        <v>JM0010</v>
      </c>
      <c r="C478" t="str">
        <f t="shared" si="177"/>
        <v>检验</v>
      </c>
      <c r="D478" t="str">
        <f>"002503050010000"</f>
        <v>002503050010000</v>
      </c>
      <c r="G478" t="str">
        <f t="shared" si="178"/>
        <v>0</v>
      </c>
      <c r="I478" t="str">
        <f t="shared" si="175"/>
        <v>项</v>
      </c>
      <c r="K478" t="str">
        <f>"XQZDHSCDMF"</f>
        <v>XQZDHSCDMF</v>
      </c>
      <c r="L478" t="str">
        <f>"TIUEXGIPQX"</f>
        <v>TIUEXGIPQX</v>
      </c>
      <c r="M478" t="str">
        <f t="shared" si="179"/>
        <v>0</v>
      </c>
      <c r="N478" t="str">
        <f>"250305001(JM)"</f>
        <v>250305001(JM)</v>
      </c>
      <c r="O478" t="str">
        <f t="shared" si="176"/>
        <v>项</v>
      </c>
      <c r="P478" t="str">
        <f t="shared" si="180"/>
        <v>检验费</v>
      </c>
    </row>
    <row r="479" spans="1:16">
      <c r="A479" t="str">
        <f>"血清直接胆红素测定（免费）"</f>
        <v>血清直接胆红素测定（免费）</v>
      </c>
      <c r="B479" t="str">
        <f>"JM0011"</f>
        <v>JM0011</v>
      </c>
      <c r="C479" t="str">
        <f t="shared" si="177"/>
        <v>检验</v>
      </c>
      <c r="D479" t="str">
        <f>"002503050020000"</f>
        <v>002503050020000</v>
      </c>
      <c r="G479" t="str">
        <f t="shared" si="178"/>
        <v>0</v>
      </c>
      <c r="I479" t="str">
        <f t="shared" si="175"/>
        <v>项</v>
      </c>
      <c r="K479" t="str">
        <f>"XQZJDHSCDMF"</f>
        <v>XQZJDHSCDMF</v>
      </c>
      <c r="L479" t="str">
        <f>"TIFREXGIPQX"</f>
        <v>TIFREXGIPQX</v>
      </c>
      <c r="M479" t="str">
        <f t="shared" si="179"/>
        <v>0</v>
      </c>
      <c r="N479" t="str">
        <f>"250305002(JM)"</f>
        <v>250305002(JM)</v>
      </c>
      <c r="O479" t="str">
        <f t="shared" si="176"/>
        <v>项</v>
      </c>
      <c r="P479" t="str">
        <f t="shared" si="180"/>
        <v>检验费</v>
      </c>
    </row>
    <row r="480" spans="1:16">
      <c r="A480" t="str">
        <f>"血清丙氨酸氨基转移酶测定（免费）"</f>
        <v>血清丙氨酸氨基转移酶测定（免费）</v>
      </c>
      <c r="B480" t="str">
        <f>"JM0012"</f>
        <v>JM0012</v>
      </c>
      <c r="C480" t="str">
        <f t="shared" si="177"/>
        <v>检验</v>
      </c>
      <c r="D480" t="str">
        <f>"002503050070000"</f>
        <v>002503050070000</v>
      </c>
      <c r="G480" t="str">
        <f t="shared" si="178"/>
        <v>0</v>
      </c>
      <c r="I480" t="str">
        <f t="shared" si="175"/>
        <v>项</v>
      </c>
      <c r="K480" t="str">
        <f>"XQBASAJZYMCDMF"</f>
        <v>XQBASAJZYMCDMF</v>
      </c>
      <c r="L480" t="str">
        <f>"TIGRSRALTSIPQX"</f>
        <v>TIGRSRALTSIPQX</v>
      </c>
      <c r="M480" t="str">
        <f t="shared" si="179"/>
        <v>0</v>
      </c>
      <c r="N480" t="str">
        <f>"250305007(JM)"</f>
        <v>250305007(JM)</v>
      </c>
      <c r="O480" t="str">
        <f t="shared" si="176"/>
        <v>项</v>
      </c>
      <c r="P480" t="str">
        <f t="shared" si="180"/>
        <v>检验费</v>
      </c>
    </row>
    <row r="481" spans="1:16">
      <c r="A481" t="str">
        <f>"血清天门冬氨酸基转移酶测定（免费）"</f>
        <v>血清天门冬氨酸基转移酶测定（免费）</v>
      </c>
      <c r="B481" t="str">
        <f>"JM0013"</f>
        <v>JM0013</v>
      </c>
      <c r="C481" t="str">
        <f t="shared" si="177"/>
        <v>检验</v>
      </c>
      <c r="D481" t="str">
        <f>"002503050080000"</f>
        <v>002503050080000</v>
      </c>
      <c r="G481" t="str">
        <f t="shared" si="178"/>
        <v>0</v>
      </c>
      <c r="I481" t="str">
        <f t="shared" si="175"/>
        <v>项</v>
      </c>
      <c r="K481" t="str">
        <f>"XQTMDASJZYMCDMF"</f>
        <v>XQTMDASJZYMCDMF</v>
      </c>
      <c r="L481" t="str">
        <f>"TIGUTRSALTSIPQX"</f>
        <v>TIGUTRSALTSIPQX</v>
      </c>
      <c r="M481" t="str">
        <f t="shared" si="179"/>
        <v>0</v>
      </c>
      <c r="N481" t="str">
        <f>"250305008（JM）"</f>
        <v>250305008（JM）</v>
      </c>
      <c r="O481" t="str">
        <f t="shared" si="176"/>
        <v>项</v>
      </c>
      <c r="P481" t="str">
        <f t="shared" si="180"/>
        <v>检验费</v>
      </c>
    </row>
    <row r="482" spans="1:16">
      <c r="A482" t="str">
        <f>"尿素测定（免费）"</f>
        <v>尿素测定（免费）</v>
      </c>
      <c r="B482" t="str">
        <f>"JM0014"</f>
        <v>JM0014</v>
      </c>
      <c r="C482" t="str">
        <f t="shared" si="177"/>
        <v>检验</v>
      </c>
      <c r="D482" t="str">
        <f>"002503070010000"</f>
        <v>002503070010000</v>
      </c>
      <c r="G482" t="str">
        <f t="shared" si="178"/>
        <v>0</v>
      </c>
      <c r="I482" t="str">
        <f t="shared" si="175"/>
        <v>项</v>
      </c>
      <c r="K482" t="str">
        <f>"NSCDMF"</f>
        <v>NSCDMF</v>
      </c>
      <c r="L482" t="str">
        <f>"NGIPQX"</f>
        <v>NGIPQX</v>
      </c>
      <c r="M482" t="str">
        <f t="shared" si="179"/>
        <v>0</v>
      </c>
      <c r="N482" t="str">
        <f>"250307001（JM）"</f>
        <v>250307001（JM）</v>
      </c>
      <c r="O482" t="str">
        <f t="shared" si="176"/>
        <v>项</v>
      </c>
      <c r="P482" t="str">
        <f t="shared" si="180"/>
        <v>检验费</v>
      </c>
    </row>
    <row r="483" spans="1:16">
      <c r="A483" t="str">
        <f>"肌酐测定（免费）"</f>
        <v>肌酐测定（免费）</v>
      </c>
      <c r="B483" t="str">
        <f>"JM0015"</f>
        <v>JM0015</v>
      </c>
      <c r="C483" t="str">
        <f t="shared" si="177"/>
        <v>检验</v>
      </c>
      <c r="D483" t="str">
        <f>"002503070020000"</f>
        <v>002503070020000</v>
      </c>
      <c r="G483" t="str">
        <f t="shared" si="178"/>
        <v>0</v>
      </c>
      <c r="I483" t="str">
        <f t="shared" si="175"/>
        <v>项</v>
      </c>
      <c r="K483" t="str">
        <f>"JCDMF"</f>
        <v>JCDMF</v>
      </c>
      <c r="L483" t="str">
        <f>"ESIPQX"</f>
        <v>ESIPQX</v>
      </c>
      <c r="M483" t="str">
        <f t="shared" si="179"/>
        <v>0</v>
      </c>
      <c r="O483" t="str">
        <f t="shared" si="176"/>
        <v>项</v>
      </c>
      <c r="P483" t="str">
        <f t="shared" si="180"/>
        <v>检验费</v>
      </c>
    </row>
    <row r="484" spans="1:16">
      <c r="A484" t="str">
        <f>"乙型肝炎核心抗体测定(Anti）(免费)"</f>
        <v>乙型肝炎核心抗体测定(Anti）(免费)</v>
      </c>
      <c r="B484" t="str">
        <f>"JM0021"</f>
        <v>JM0021</v>
      </c>
      <c r="C484" t="str">
        <f t="shared" si="177"/>
        <v>检验</v>
      </c>
      <c r="D484" t="str">
        <f>"002504030090000"</f>
        <v>002504030090000</v>
      </c>
      <c r="G484" t="str">
        <f t="shared" si="178"/>
        <v>0</v>
      </c>
      <c r="I484" t="str">
        <f t="shared" si="175"/>
        <v>项</v>
      </c>
      <c r="K484" t="str">
        <f>"YXGYHXKTCDANTIMF"</f>
        <v>YXGYHXKTCDANTIMF</v>
      </c>
      <c r="L484" t="str">
        <f>"NGEOSNRWIPANTIQX"</f>
        <v>NGEOSNRWIPANTIQX</v>
      </c>
      <c r="M484" t="str">
        <f t="shared" si="179"/>
        <v>0</v>
      </c>
      <c r="N484" t="str">
        <f>"250403009（JM）"</f>
        <v>250403009（JM）</v>
      </c>
      <c r="O484" t="str">
        <f t="shared" si="176"/>
        <v>项</v>
      </c>
      <c r="P484" t="str">
        <f t="shared" si="180"/>
        <v>检验费</v>
      </c>
    </row>
    <row r="485" spans="1:16">
      <c r="A485" t="str">
        <f>"乙型肝炎表面抗原测定(HBsAg)ELISA法（妇科减免）"</f>
        <v>乙型肝炎表面抗原测定(HBsAg)ELISA法（妇科减免）</v>
      </c>
      <c r="B485" t="str">
        <f>"JM0032"</f>
        <v>JM0032</v>
      </c>
      <c r="C485" t="str">
        <f t="shared" si="177"/>
        <v>检验</v>
      </c>
      <c r="D485" t="str">
        <f>"002504030040000"</f>
        <v>002504030040000</v>
      </c>
      <c r="G485" t="str">
        <f t="shared" si="178"/>
        <v>0</v>
      </c>
      <c r="I485" t="str">
        <f t="shared" si="175"/>
        <v>项</v>
      </c>
      <c r="K485" t="str">
        <f>"YXGYBMKYCDHBSAGE"</f>
        <v>YXGYBMKYCDHBSAGE</v>
      </c>
      <c r="L485" t="str">
        <f>"NGEOGDRDIPHBSAGE"</f>
        <v>NGEOGDRDIPHBSAGE</v>
      </c>
      <c r="M485" t="str">
        <f t="shared" si="179"/>
        <v>0</v>
      </c>
      <c r="N485" t="str">
        <f>"250403004(JM)"</f>
        <v>250403004(JM)</v>
      </c>
      <c r="O485" t="str">
        <f t="shared" si="176"/>
        <v>项</v>
      </c>
      <c r="P485" t="str">
        <f t="shared" si="180"/>
        <v>检验费</v>
      </c>
    </row>
    <row r="486" spans="1:16">
      <c r="A486" t="str">
        <f>"乙型肝炎表面抗体测定(Anti-HBs)ELISA法（妇科减免）"</f>
        <v>乙型肝炎表面抗体测定(Anti-HBs)ELISA法（妇科减免）</v>
      </c>
      <c r="B486" t="str">
        <f>"JM0033"</f>
        <v>JM0033</v>
      </c>
      <c r="C486" t="str">
        <f t="shared" si="177"/>
        <v>检验</v>
      </c>
      <c r="D486" t="str">
        <f>"002504030050000"</f>
        <v>002504030050000</v>
      </c>
      <c r="G486" t="str">
        <f t="shared" si="178"/>
        <v>0</v>
      </c>
      <c r="I486" t="str">
        <f t="shared" si="175"/>
        <v>项</v>
      </c>
      <c r="K486" t="str">
        <f>"YXGYBMKTCDANTIHB"</f>
        <v>YXGYBMKTCDANTIHB</v>
      </c>
      <c r="L486" t="str">
        <f>"NGEOGDRWIPANTIHB"</f>
        <v>NGEOGDRWIPANTIHB</v>
      </c>
      <c r="M486" t="str">
        <f t="shared" si="179"/>
        <v>0</v>
      </c>
      <c r="N486" t="str">
        <f>"250403005(JM)"</f>
        <v>250403005(JM)</v>
      </c>
      <c r="O486" t="str">
        <f t="shared" si="176"/>
        <v>项</v>
      </c>
      <c r="P486" t="str">
        <f t="shared" si="180"/>
        <v>检验费</v>
      </c>
    </row>
    <row r="487" spans="1:16">
      <c r="A487" t="str">
        <f>"乙型肝炎e抗原测定(HBeAg)（免疫学法）（妇科减免）"</f>
        <v>乙型肝炎e抗原测定(HBeAg)（免疫学法）（妇科减免）</v>
      </c>
      <c r="B487" t="str">
        <f>"JM0034"</f>
        <v>JM0034</v>
      </c>
      <c r="C487" t="str">
        <f t="shared" si="177"/>
        <v>检验</v>
      </c>
      <c r="D487" t="str">
        <f>"002504030060000"</f>
        <v>002504030060000</v>
      </c>
      <c r="G487" t="str">
        <f t="shared" si="178"/>
        <v>0</v>
      </c>
      <c r="I487" t="str">
        <f t="shared" si="175"/>
        <v>项</v>
      </c>
      <c r="K487" t="str">
        <f>"YXGYEKYCDHBEAGMY"</f>
        <v>YXGYEKYCDHBEAGMY</v>
      </c>
      <c r="L487" t="str">
        <f>"NGEOERDIPHBEAGQU"</f>
        <v>NGEOERDIPHBEAGQU</v>
      </c>
      <c r="M487" t="str">
        <f t="shared" si="179"/>
        <v>0</v>
      </c>
      <c r="N487" t="str">
        <f>"250403006(JM)"</f>
        <v>250403006(JM)</v>
      </c>
      <c r="O487" t="str">
        <f t="shared" si="176"/>
        <v>项</v>
      </c>
      <c r="P487" t="str">
        <f t="shared" si="180"/>
        <v>检验费</v>
      </c>
    </row>
    <row r="488" spans="1:16">
      <c r="A488" t="str">
        <f>"乙型肝炎e抗体测定(Anti-HBe)免疫学法（妇科减免）"</f>
        <v>乙型肝炎e抗体测定(Anti-HBe)免疫学法（妇科减免）</v>
      </c>
      <c r="B488" t="str">
        <f>"JM0035"</f>
        <v>JM0035</v>
      </c>
      <c r="C488" t="str">
        <f t="shared" si="177"/>
        <v>检验</v>
      </c>
      <c r="D488" t="str">
        <f>"002504030070000"</f>
        <v>002504030070000</v>
      </c>
      <c r="G488" t="str">
        <f t="shared" si="178"/>
        <v>0</v>
      </c>
      <c r="I488" t="str">
        <f t="shared" si="175"/>
        <v>项</v>
      </c>
      <c r="K488" t="str">
        <f>"YXGYEKTCDANTIHBE"</f>
        <v>YXGYEKTCDANTIHBE</v>
      </c>
      <c r="L488" t="str">
        <f>"NGEOERWIPANTIHBE"</f>
        <v>NGEOERWIPANTIHBE</v>
      </c>
      <c r="M488" t="str">
        <f t="shared" si="179"/>
        <v>0</v>
      </c>
      <c r="N488" t="str">
        <f>"250403007(JM)"</f>
        <v>250403007(JM)</v>
      </c>
      <c r="O488" t="str">
        <f t="shared" si="176"/>
        <v>项</v>
      </c>
      <c r="P488" t="str">
        <f t="shared" si="180"/>
        <v>检验费</v>
      </c>
    </row>
    <row r="489" spans="1:16">
      <c r="A489" t="str">
        <f>"电脑血糖监测（签约服务包专用）"</f>
        <v>电脑血糖监测（签约服务包专用）</v>
      </c>
      <c r="B489" t="str">
        <f>"JM0052"</f>
        <v>JM0052</v>
      </c>
      <c r="C489" t="str">
        <f t="shared" si="177"/>
        <v>检验</v>
      </c>
      <c r="D489" t="str">
        <f>"003102050080000"</f>
        <v>003102050080000</v>
      </c>
      <c r="G489">
        <v>2</v>
      </c>
      <c r="I489" t="str">
        <f t="shared" si="175"/>
        <v>项</v>
      </c>
      <c r="K489" t="str">
        <f>"DNXTJCQYFWBZY"</f>
        <v>DNXTJCQYFWBZY</v>
      </c>
      <c r="L489" t="str">
        <f>"JETOJITXETQFE"</f>
        <v>JETOJITXETQFE</v>
      </c>
      <c r="M489">
        <v>5</v>
      </c>
      <c r="N489" t="str">
        <f>"310205008(JM)"</f>
        <v>310205008(JM)</v>
      </c>
      <c r="O489" t="str">
        <f t="shared" si="176"/>
        <v>项</v>
      </c>
      <c r="P489" t="str">
        <f t="shared" si="180"/>
        <v>检验费</v>
      </c>
    </row>
    <row r="490" spans="1:16">
      <c r="A490" t="str">
        <f>"尿液分析（妇儿保专用）"</f>
        <v>尿液分析（妇儿保专用）</v>
      </c>
      <c r="B490" t="str">
        <f>"JM0055"</f>
        <v>JM0055</v>
      </c>
      <c r="C490" t="str">
        <f t="shared" si="177"/>
        <v>检验</v>
      </c>
      <c r="D490" t="str">
        <f>"002501020350000"</f>
        <v>002501020350000</v>
      </c>
      <c r="G490" t="str">
        <f t="shared" ref="G490:G495" si="181">"0"</f>
        <v>0</v>
      </c>
      <c r="I490" t="str">
        <f t="shared" si="175"/>
        <v>项</v>
      </c>
      <c r="K490" t="str">
        <f>"NYFXFEBZY"</f>
        <v>NYFXFEBZY</v>
      </c>
      <c r="L490" t="str">
        <f>"NIWSVQWFE"</f>
        <v>NIWSVQWFE</v>
      </c>
      <c r="M490" t="str">
        <f t="shared" ref="M490:M495" si="182">"0"</f>
        <v>0</v>
      </c>
      <c r="N490" t="str">
        <f>"250102035(JM)"</f>
        <v>250102035(JM)</v>
      </c>
      <c r="O490" t="str">
        <f t="shared" si="176"/>
        <v>项</v>
      </c>
      <c r="P490" t="str">
        <f t="shared" si="180"/>
        <v>检验费</v>
      </c>
    </row>
    <row r="491" spans="1:16">
      <c r="A491" t="str">
        <f>"家庭医生签约基本服务包"</f>
        <v>家庭医生签约基本服务包</v>
      </c>
      <c r="B491" t="str">
        <f>"JM0072"</f>
        <v>JM0072</v>
      </c>
      <c r="C491" t="str">
        <f>"其他"</f>
        <v>其他</v>
      </c>
      <c r="D491" t="str">
        <f>"321500000140000"</f>
        <v>321500000140000</v>
      </c>
      <c r="G491">
        <v>15</v>
      </c>
      <c r="I491" t="str">
        <f t="shared" si="175"/>
        <v>项</v>
      </c>
      <c r="K491" t="str">
        <f>"JTYSQYJBFWB"</f>
        <v>JTYSQYJBFWB</v>
      </c>
      <c r="L491" t="str">
        <f>"PYATTXASETQ"</f>
        <v>PYATTXASETQ</v>
      </c>
      <c r="M491">
        <v>15</v>
      </c>
      <c r="O491" t="str">
        <f t="shared" si="176"/>
        <v>项</v>
      </c>
      <c r="P491" t="str">
        <f>"签约服务费"</f>
        <v>签约服务费</v>
      </c>
    </row>
    <row r="492" spans="1:16">
      <c r="A492" t="str">
        <f>"葡萄糖测定（免费）"</f>
        <v>葡萄糖测定（免费）</v>
      </c>
      <c r="B492" t="str">
        <f>"JM0085"</f>
        <v>JM0085</v>
      </c>
      <c r="C492" t="str">
        <f t="shared" ref="C492:C497" si="183">"检验"</f>
        <v>检验</v>
      </c>
      <c r="D492" t="str">
        <f>"002503020010000"</f>
        <v>002503020010000</v>
      </c>
      <c r="G492" t="str">
        <f t="shared" si="181"/>
        <v>0</v>
      </c>
      <c r="I492" t="str">
        <f t="shared" ref="I492:I495" si="184">"次"</f>
        <v>次</v>
      </c>
      <c r="K492" t="str">
        <f>"PTTCDMF"</f>
        <v>PTTCDMF</v>
      </c>
      <c r="L492" t="str">
        <f>"AAOIPQX"</f>
        <v>AAOIPQX</v>
      </c>
      <c r="M492" t="str">
        <f t="shared" si="182"/>
        <v>0</v>
      </c>
      <c r="O492" t="str">
        <f t="shared" ref="O492:O496" si="185">"次"</f>
        <v>次</v>
      </c>
      <c r="P492" t="str">
        <f t="shared" ref="P492:P497" si="186">"检验费"</f>
        <v>检验费</v>
      </c>
    </row>
    <row r="493" spans="1:16">
      <c r="A493" t="str">
        <f>"红外线治疗(家医签约)"</f>
        <v>红外线治疗(家医签约)</v>
      </c>
      <c r="B493" t="str">
        <f>"JM0120"</f>
        <v>JM0120</v>
      </c>
      <c r="C493" t="str">
        <f>"治疗"</f>
        <v>治疗</v>
      </c>
      <c r="G493" t="str">
        <f t="shared" si="181"/>
        <v>0</v>
      </c>
      <c r="I493" t="str">
        <f t="shared" si="184"/>
        <v>次</v>
      </c>
      <c r="K493" t="str">
        <f>"HWXZLJYQY"</f>
        <v>HWXZLJYQY</v>
      </c>
      <c r="L493" t="str">
        <f>"XQXIUPATX"</f>
        <v>XQXIUPATX</v>
      </c>
      <c r="M493">
        <v>7</v>
      </c>
      <c r="O493" t="str">
        <f t="shared" si="185"/>
        <v>次</v>
      </c>
      <c r="P493" t="str">
        <f>"治疗费"</f>
        <v>治疗费</v>
      </c>
    </row>
    <row r="494" spans="1:16">
      <c r="A494" t="str">
        <f>"梅毒螺旋体特异性抗体测定（TPPA）免费"</f>
        <v>梅毒螺旋体特异性抗体测定（TPPA）免费</v>
      </c>
      <c r="B494" t="str">
        <f>"JM0126"</f>
        <v>JM0126</v>
      </c>
      <c r="C494" t="str">
        <f t="shared" si="183"/>
        <v>检验</v>
      </c>
      <c r="G494" t="str">
        <f t="shared" si="181"/>
        <v>0</v>
      </c>
      <c r="I494" t="str">
        <f t="shared" si="184"/>
        <v>次</v>
      </c>
      <c r="K494" t="str">
        <f>"MDLXTTYXKTCDTPPA"</f>
        <v>MDLXTTYXKTCDTPPA</v>
      </c>
      <c r="L494" t="str">
        <f>"SGJYWTNNRWIPTPPA"</f>
        <v>SGJYWTNNRWIPTPPA</v>
      </c>
      <c r="M494" t="str">
        <f t="shared" si="182"/>
        <v>0</v>
      </c>
      <c r="O494" t="str">
        <f t="shared" si="185"/>
        <v>次</v>
      </c>
      <c r="P494" t="str">
        <f t="shared" si="186"/>
        <v>检验费</v>
      </c>
    </row>
    <row r="495" spans="1:16">
      <c r="A495" t="str">
        <f>"人免疫缺陷病毒抗体测定（HIV）免费"</f>
        <v>人免疫缺陷病毒抗体测定（HIV）免费</v>
      </c>
      <c r="B495" t="str">
        <f>"JM0127"</f>
        <v>JM0127</v>
      </c>
      <c r="C495" t="str">
        <f t="shared" si="183"/>
        <v>检验</v>
      </c>
      <c r="G495" t="str">
        <f t="shared" si="181"/>
        <v>0</v>
      </c>
      <c r="I495" t="str">
        <f t="shared" si="184"/>
        <v>次</v>
      </c>
      <c r="K495" t="str">
        <f>"RMYQXBDKTCDHIVMF"</f>
        <v>RMYQXBDKTCDHIVMF</v>
      </c>
      <c r="L495" t="str">
        <f>"WQURBUGRWIPHIVQX"</f>
        <v>WQURBUGRWIPHIVQX</v>
      </c>
      <c r="M495" t="str">
        <f t="shared" si="182"/>
        <v>0</v>
      </c>
      <c r="O495" t="str">
        <f t="shared" si="185"/>
        <v>次</v>
      </c>
      <c r="P495" t="str">
        <f t="shared" si="186"/>
        <v>检验费</v>
      </c>
    </row>
    <row r="496" spans="1:16">
      <c r="A496" t="str">
        <f>"阴道分泌物检查"</f>
        <v>阴道分泌物检查</v>
      </c>
      <c r="B496" t="str">
        <f>"JM0130"</f>
        <v>JM0130</v>
      </c>
      <c r="C496" t="str">
        <f t="shared" si="183"/>
        <v>检验</v>
      </c>
      <c r="D496" t="str">
        <f>"002501040140000"</f>
        <v>002501040140000</v>
      </c>
      <c r="G496">
        <v>2</v>
      </c>
      <c r="I496" t="str">
        <f>"-"</f>
        <v>-</v>
      </c>
      <c r="K496" t="str">
        <f>"YDFMWJC"</f>
        <v>YDFMWJC</v>
      </c>
      <c r="L496" t="str">
        <f>"BUWITSS"</f>
        <v>BUWITSS</v>
      </c>
      <c r="M496">
        <v>2</v>
      </c>
      <c r="O496" t="str">
        <f t="shared" si="185"/>
        <v>次</v>
      </c>
      <c r="P496" t="str">
        <f t="shared" si="186"/>
        <v>检验费</v>
      </c>
    </row>
    <row r="497" spans="1:16">
      <c r="A497" t="str">
        <f>"唐氏综合筛查及唐氏综合症风险率计算（免费）"</f>
        <v>唐氏综合筛查及唐氏综合症风险率计算（免费）</v>
      </c>
      <c r="B497" t="str">
        <f>"JM0138"</f>
        <v>JM0138</v>
      </c>
      <c r="C497" t="str">
        <f t="shared" si="183"/>
        <v>检验</v>
      </c>
      <c r="G497" t="str">
        <f t="shared" ref="G497:G499" si="187">"0"</f>
        <v>0</v>
      </c>
      <c r="I497" t="str">
        <f>"项"</f>
        <v>项</v>
      </c>
      <c r="K497" t="str">
        <f>"TSZHSCJTSZHZFXLJ"</f>
        <v>TSZHSCJTSZHZFXLJ</v>
      </c>
      <c r="L497" t="str">
        <f>"YQXWTSEYQXWUMBYY"</f>
        <v>YQXWTSEYQXWUMBYY</v>
      </c>
      <c r="M497" t="str">
        <f t="shared" ref="M497:M499" si="188">"0"</f>
        <v>0</v>
      </c>
      <c r="O497" t="str">
        <f>"项"</f>
        <v>项</v>
      </c>
      <c r="P497" t="str">
        <f t="shared" si="186"/>
        <v>检验费</v>
      </c>
    </row>
    <row r="498" spans="1:16">
      <c r="A498" t="str">
        <f>"隔物灸（家医签约）"</f>
        <v>隔物灸（家医签约）</v>
      </c>
      <c r="B498" t="str">
        <f>"JM0144"</f>
        <v>JM0144</v>
      </c>
      <c r="C498" t="str">
        <f>"治疗"</f>
        <v>治疗</v>
      </c>
      <c r="G498" t="str">
        <f t="shared" si="187"/>
        <v>0</v>
      </c>
      <c r="I498" t="str">
        <f t="shared" ref="I498:I500" si="189">"次"</f>
        <v>次</v>
      </c>
      <c r="K498" t="str">
        <f>"GWJJYQY"</f>
        <v>GWJJYQY</v>
      </c>
      <c r="L498" t="str">
        <f>"BTQPATX"</f>
        <v>BTQPATX</v>
      </c>
      <c r="M498" t="str">
        <f t="shared" si="188"/>
        <v>0</v>
      </c>
      <c r="O498" t="str">
        <f t="shared" ref="O498:O500" si="190">"次"</f>
        <v>次</v>
      </c>
      <c r="P498" t="str">
        <f>"治疗费"</f>
        <v>治疗费</v>
      </c>
    </row>
    <row r="499" spans="1:16">
      <c r="A499" t="str">
        <f>"ABO.RHD血型鉴定（免费）"</f>
        <v>ABO.RHD血型鉴定（免费）</v>
      </c>
      <c r="B499" t="str">
        <f>"JM0148"</f>
        <v>JM0148</v>
      </c>
      <c r="C499" t="str">
        <f>"检验"</f>
        <v>检验</v>
      </c>
      <c r="G499" t="str">
        <f t="shared" si="187"/>
        <v>0</v>
      </c>
      <c r="I499" t="str">
        <f t="shared" si="189"/>
        <v>次</v>
      </c>
      <c r="K499" t="str">
        <f>"ABORHDXXJDMF"</f>
        <v>ABORHDXXJDMF</v>
      </c>
      <c r="L499" t="str">
        <f>"ABORHDTGJPQX"</f>
        <v>ABORHDTGJPQX</v>
      </c>
      <c r="M499" t="str">
        <f t="shared" si="188"/>
        <v>0</v>
      </c>
      <c r="O499" t="str">
        <f t="shared" si="190"/>
        <v>次</v>
      </c>
      <c r="P499" t="str">
        <f>"检验费"</f>
        <v>检验费</v>
      </c>
    </row>
    <row r="500" spans="1:16">
      <c r="A500" t="str">
        <f>"中医刮痧（家医签约）"</f>
        <v>中医刮痧（家医签约）</v>
      </c>
      <c r="B500" t="str">
        <f>"JM0167"</f>
        <v>JM0167</v>
      </c>
      <c r="C500" t="str">
        <f>"治疗"</f>
        <v>治疗</v>
      </c>
      <c r="D500" t="str">
        <f>"014100000170000"</f>
        <v>014100000170000</v>
      </c>
      <c r="G500">
        <v>45</v>
      </c>
      <c r="I500" t="str">
        <f t="shared" si="189"/>
        <v>次</v>
      </c>
      <c r="K500" t="str">
        <f>"ZYGJYQY"</f>
        <v>ZYGJYQY</v>
      </c>
      <c r="L500" t="str">
        <f>"KATUPATX"</f>
        <v>KATUPATX</v>
      </c>
      <c r="M500">
        <v>45</v>
      </c>
      <c r="O500" t="str">
        <f t="shared" si="190"/>
        <v>次</v>
      </c>
      <c r="P500" t="str">
        <f>"治疗费"</f>
        <v>治疗费</v>
      </c>
    </row>
    <row r="501" spans="1:16">
      <c r="A501" t="str">
        <f>"重组带状疱疹疫苗（欣安立适 免费）"</f>
        <v>重组带状疱疹疫苗（欣安立适 免费）</v>
      </c>
      <c r="B501" t="str">
        <f>"YM0096"</f>
        <v>YM0096</v>
      </c>
      <c r="C501" t="str">
        <f t="shared" ref="C501:C506" si="191">"其他"</f>
        <v>其他</v>
      </c>
      <c r="G501" t="str">
        <f>"0"</f>
        <v>0</v>
      </c>
      <c r="I501" t="str">
        <f>"0.5ml"</f>
        <v>0.5ml</v>
      </c>
      <c r="K501" t="str">
        <f>"ZZDZZYMXALSMF"</f>
        <v>ZZDZZYMXALSMF</v>
      </c>
      <c r="L501" t="str">
        <f>"TXGUUUUARPUTQX"</f>
        <v>TXGUUUUARPUTQX</v>
      </c>
      <c r="M501" t="str">
        <f>"0"</f>
        <v>0</v>
      </c>
      <c r="O501" t="str">
        <f t="shared" ref="O501:O503" si="192">"支"</f>
        <v>支</v>
      </c>
      <c r="P501" t="str">
        <f t="shared" ref="P501:P503" si="193">"生物制品"</f>
        <v>生物制品</v>
      </c>
    </row>
    <row r="502" spans="1:16">
      <c r="A502" t="str">
        <f>"四价人乳头瘤病毒疫苗（佳达修 优惠）"</f>
        <v>四价人乳头瘤病毒疫苗（佳达修 优惠）</v>
      </c>
      <c r="B502" t="str">
        <f>"YM0124"</f>
        <v>YM0124</v>
      </c>
      <c r="C502" t="str">
        <f t="shared" si="191"/>
        <v>其他</v>
      </c>
      <c r="D502" t="str">
        <f>"XJ07BMS254B001010178633"</f>
        <v>XJ07BMS254B001010178633</v>
      </c>
      <c r="G502">
        <v>735</v>
      </c>
      <c r="I502" t="str">
        <f>"0.5 ml"</f>
        <v>0.5 ml</v>
      </c>
      <c r="K502" t="str">
        <f>"SJRRTLBDYMJDXYH"</f>
        <v>SJRRTLBDYMJDXYH</v>
      </c>
      <c r="L502" t="str">
        <f>"LWWEUUUGUAWDWWG"</f>
        <v>LWWEUUUGUAWDWWG</v>
      </c>
      <c r="M502">
        <v>735</v>
      </c>
      <c r="O502" t="str">
        <f t="shared" si="192"/>
        <v>支</v>
      </c>
      <c r="P502" t="str">
        <f t="shared" si="193"/>
        <v>生物制品</v>
      </c>
    </row>
    <row r="503" spans="1:16">
      <c r="A503" t="str">
        <f>"九价人乳头瘤病毒疫苗（佳达修 优惠）"</f>
        <v>九价人乳头瘤病毒疫苗（佳达修 优惠）</v>
      </c>
      <c r="B503" t="str">
        <f>"YM0125"</f>
        <v>YM0125</v>
      </c>
      <c r="C503" t="str">
        <f t="shared" si="191"/>
        <v>其他</v>
      </c>
      <c r="D503" t="str">
        <f>"XJ07BMJ235B001020182352"</f>
        <v>XJ07BMJ235B001020182352</v>
      </c>
      <c r="G503">
        <v>1235</v>
      </c>
      <c r="I503" t="str">
        <f>"0.5ml"</f>
        <v>0.5ml</v>
      </c>
      <c r="K503" t="str">
        <f>"JJRRTLBDYMJDXYH"</f>
        <v>JJRRTLBDYMJDXYH</v>
      </c>
      <c r="L503" t="str">
        <f>"VWWEUUUGUAWDWWG"</f>
        <v>VWWEUUUGUAWDWWG</v>
      </c>
      <c r="M503">
        <v>1235</v>
      </c>
      <c r="O503" t="str">
        <f t="shared" si="192"/>
        <v>支</v>
      </c>
      <c r="P503" t="str">
        <f t="shared" si="193"/>
        <v>生物制品</v>
      </c>
    </row>
    <row r="504" spans="1:16">
      <c r="A504" t="str">
        <f>"预防接种服务费"</f>
        <v>预防接种服务费</v>
      </c>
      <c r="B504" t="str">
        <f>"ZF0001"</f>
        <v>ZF0001</v>
      </c>
      <c r="C504" t="str">
        <f t="shared" si="191"/>
        <v>其他</v>
      </c>
      <c r="D504" t="str">
        <f>"002505010090000"</f>
        <v>002505010090000</v>
      </c>
      <c r="G504">
        <v>20</v>
      </c>
      <c r="I504">
        <v>1</v>
      </c>
      <c r="K504" t="str">
        <f>"YFJZFWF"</f>
        <v>YFJZFWF</v>
      </c>
      <c r="L504" t="str">
        <f>"CBRTETX"</f>
        <v>CBRTETX</v>
      </c>
      <c r="M504">
        <v>20</v>
      </c>
      <c r="O504" t="str">
        <f>"次"</f>
        <v>次</v>
      </c>
      <c r="P504" t="str">
        <f>"预防接种费"</f>
        <v>预防接种费</v>
      </c>
    </row>
    <row r="505" spans="1:16">
      <c r="A505" t="str">
        <f>"省级离休干部签约费"</f>
        <v>省级离休干部签约费</v>
      </c>
      <c r="B505" t="str">
        <f>"ZF0210"</f>
        <v>ZF0210</v>
      </c>
      <c r="C505" t="str">
        <f t="shared" si="191"/>
        <v>其他</v>
      </c>
      <c r="G505">
        <v>1200</v>
      </c>
      <c r="I505" t="str">
        <f>"项"</f>
        <v>项</v>
      </c>
      <c r="K505" t="str">
        <f>"SJLXGBQYF"</f>
        <v>SJLXGBQYF</v>
      </c>
      <c r="L505" t="str">
        <f>"IXYWFUTXX"</f>
        <v>IXYWFUTXX</v>
      </c>
      <c r="M505">
        <v>1200</v>
      </c>
      <c r="O505" t="str">
        <f>"项"</f>
        <v>项</v>
      </c>
      <c r="P505" t="str">
        <f>"签约服务费"</f>
        <v>签约服务费</v>
      </c>
    </row>
    <row r="506" spans="1:16">
      <c r="A506" t="str">
        <f>"省级离休干部签约服务费（每月）"</f>
        <v>省级离休干部签约服务费（每月）</v>
      </c>
      <c r="B506" t="str">
        <f>"ZF0261"</f>
        <v>ZF0261</v>
      </c>
      <c r="C506" t="str">
        <f t="shared" si="191"/>
        <v>其他</v>
      </c>
      <c r="G506">
        <v>100</v>
      </c>
      <c r="I506" t="str">
        <f>"项"</f>
        <v>项</v>
      </c>
      <c r="K506" t="str">
        <f>"SJLXGBQYFWFMY"</f>
        <v>SJLXGBQYFWFMY</v>
      </c>
      <c r="L506" t="str">
        <f>"IXYWFUTXETXTE"</f>
        <v>IXYWFUTXETXTE</v>
      </c>
      <c r="M506">
        <v>100</v>
      </c>
      <c r="O506" t="str">
        <f>"项"</f>
        <v>项</v>
      </c>
      <c r="P506" t="str">
        <f>"签约服务费"</f>
        <v>签约服务费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26年5月7日在用收费目录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dcterms:created xsi:type="dcterms:W3CDTF">2026-05-07T06:05:32Z</dcterms:created>
  <dcterms:modified xsi:type="dcterms:W3CDTF">2026-05-08T09:10:07Z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86244CA3AA49466888A9161FA668E03F_13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