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Sheet1!$A$1:$E$335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<sst xmlns="http://schemas.openxmlformats.org/spreadsheetml/2006/main" count="5" uniqueCount="5">
  <si>
    <t>项目名称</t>
  </si>
  <si>
    <t>单价</t>
  </si>
  <si>
    <t>规格</t>
  </si>
  <si>
    <t>单位</t>
  </si>
  <si>
    <t>核算科目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</si>
</sst>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0" fillId="4" borderId="2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8" fillId="0" borderId="3">
      <alignment vertical="center"/>
    </xf>
    <xf numFmtId="0" fontId="9" fillId="0" borderId="3">
      <alignment vertical="center"/>
    </xf>
    <xf numFmtId="0" fontId="10" fillId="0" borderId="4">
      <alignment vertical="center"/>
    </xf>
    <xf numFmtId="0" fontId="10" fillId="0" borderId="0">
      <alignment vertical="center"/>
    </xf>
    <xf numFmtId="0" fontId="11" fillId="5" borderId="5">
      <alignment vertical="center"/>
    </xf>
    <xf numFmtId="0" fontId="12" fillId="6" borderId="6">
      <alignment vertical="center"/>
    </xf>
    <xf numFmtId="0" fontId="13" fillId="6" borderId="5">
      <alignment vertical="center"/>
    </xf>
    <xf numFmtId="0" fontId="14" fillId="7" borderId="7">
      <alignment vertical="center"/>
    </xf>
    <xf numFmtId="0" fontId="15" fillId="0" borderId="8">
      <alignment vertical="center"/>
    </xf>
    <xf numFmtId="0" fontId="16" fillId="0" borderId="9">
      <alignment vertical="center"/>
    </xf>
    <xf numFmtId="0" fontId="17" fillId="8" borderId="0">
      <alignment vertical="center"/>
    </xf>
    <xf numFmtId="0" fontId="18" fillId="9" borderId="0">
      <alignment vertical="center"/>
    </xf>
    <xf numFmtId="0" fontId="19" fillId="10" borderId="0">
      <alignment vertical="center"/>
    </xf>
    <xf numFmtId="0" fontId="20" fillId="11" borderId="0">
      <alignment vertical="center"/>
    </xf>
    <xf numFmtId="0" fontId="21" fillId="12" borderId="0">
      <alignment vertical="center"/>
    </xf>
    <xf numFmtId="0" fontId="21" fillId="13" borderId="0">
      <alignment vertical="center"/>
    </xf>
    <xf numFmtId="0" fontId="20" fillId="14" borderId="0">
      <alignment vertical="center"/>
    </xf>
    <xf numFmtId="0" fontId="20" fillId="15" borderId="0">
      <alignment vertical="center"/>
    </xf>
    <xf numFmtId="0" fontId="21" fillId="16" borderId="0">
      <alignment vertical="center"/>
    </xf>
    <xf numFmtId="0" fontId="21" fillId="17" borderId="0">
      <alignment vertical="center"/>
    </xf>
    <xf numFmtId="0" fontId="20" fillId="18" borderId="0">
      <alignment vertical="center"/>
    </xf>
    <xf numFmtId="0" fontId="20" fillId="19" borderId="0">
      <alignment vertical="center"/>
    </xf>
    <xf numFmtId="0" fontId="21" fillId="20" borderId="0">
      <alignment vertical="center"/>
    </xf>
    <xf numFmtId="0" fontId="21" fillId="21" borderId="0">
      <alignment vertical="center"/>
    </xf>
    <xf numFmtId="0" fontId="20" fillId="22" borderId="0">
      <alignment vertical="center"/>
    </xf>
    <xf numFmtId="0" fontId="20" fillId="23" borderId="0">
      <alignment vertical="center"/>
    </xf>
    <xf numFmtId="0" fontId="21" fillId="24" borderId="0">
      <alignment vertical="center"/>
    </xf>
    <xf numFmtId="0" fontId="21" fillId="25" borderId="0">
      <alignment vertical="center"/>
    </xf>
    <xf numFmtId="0" fontId="20" fillId="26" borderId="0">
      <alignment vertical="center"/>
    </xf>
    <xf numFmtId="0" fontId="20" fillId="27" borderId="0">
      <alignment vertical="center"/>
    </xf>
    <xf numFmtId="0" fontId="21" fillId="28" borderId="0">
      <alignment vertical="center"/>
    </xf>
    <xf numFmtId="0" fontId="21" fillId="29" borderId="0">
      <alignment vertical="center"/>
    </xf>
    <xf numFmtId="0" fontId="20" fillId="30" borderId="0">
      <alignment vertical="center"/>
    </xf>
    <xf numFmtId="0" fontId="20" fillId="31" borderId="0">
      <alignment vertical="center"/>
    </xf>
    <xf numFmtId="0" fontId="21" fillId="32" borderId="0">
      <alignment vertical="center"/>
    </xf>
    <xf numFmtId="0" fontId="21" fillId="33" borderId="0">
      <alignment vertical="center"/>
    </xf>
    <xf numFmtId="0" fontId="20" fillId="34" borderId="0">
      <alignment vertical="center"/>
    </xf>
  </cellStyleXfs>
  <cellXfs count="21"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>
      <alignment vertical="center"/>
    </xf>
    <xf numFmtId="0" fontId="0" fillId="2" borderId="1" xfId="0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0" fillId="3" borderId="1" xfId="0" applyFill="1" applyBorder="1">
      <alignment vertical="center"/>
    </xf>
    <xf numFmtId="0" fontId="1" fillId="2" borderId="1" xfId="0" applyFont="1" applyFill="1" applyBorder="1" applyAlignment="1">
      <alignment vertical="center"/>
    </xf>
    <xf numFmtId="0" fontId="1" fillId="3" borderId="1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3" borderId="1" xfId="0" applyFill="1" applyBorder="1" applyAlignment="1">
      <alignment horizontal="left" vertical="center"/>
    </xf>
    <xf numFmtId="0" fontId="0" fillId="3" borderId="1" xfId="0" applyFill="1" applyBorder="1" applyAlignment="1">
      <alignment vertical="center"/>
    </xf>
    <xf numFmtId="0" fontId="0" fillId="2" borderId="1" xfId="0" applyFont="1" applyFill="1" applyBorder="1">
      <alignment vertical="center"/>
    </xf>
    <xf numFmtId="0" fontId="0" fillId="2" borderId="1" xfId="0" applyFont="1" applyFill="1" applyBorder="1" applyAlignment="1">
      <alignment horizontal="left" vertical="center"/>
    </xf>
    <xf numFmtId="0" fontId="0" fillId="2" borderId="1" xfId="0" applyFont="1" applyFill="1" applyBorder="1" applyAlignment="1">
      <alignment horizontal="left" vertical="center"/>
    </xf>
    <xf numFmtId="0" fontId="0" fillId="2" borderId="1" xfId="0" applyFont="1" applyFill="1" applyBorder="1" applyAlignment="1">
      <alignment horizontal="right" vertical="center"/>
    </xf>
    <xf numFmtId="0" fontId="0" fillId="2" borderId="1" xfId="0" applyFill="1" applyBorder="1">
      <alignment vertical="center"/>
    </xf>
    <xf numFmtId="0" fontId="2" fillId="2" borderId="1" xfId="0" applyFont="1" applyFill="1" applyBorder="1">
      <alignment vertical="center"/>
    </xf>
    <xf numFmtId="0" fontId="0" fillId="2" borderId="1" xfId="0" applyFont="1" applyFill="1" applyBorder="1">
      <alignment vertical="center"/>
    </xf>
    <xf numFmtId="0" fontId="0" fillId="2" borderId="1" xfId="0" applyFill="1" applyBorder="1" applyAlignment="1">
      <alignment horizontal="righ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35"/>
  <sheetViews>
    <sheetView tabSelected="1" topLeftCell="A296" workbookViewId="0">
      <selection activeCell="C12" sqref="C12"/>
    </sheetView>
  </sheetViews>
  <sheetFormatPr defaultColWidth="9" defaultRowHeight="14" outlineLevelCol="4"/>
  <cols>
    <col min="1" max="1" width="41.9090909090909" customWidth="1"/>
    <col min="2" max="2" width="16.8181818181818" style="1" customWidth="1"/>
    <col min="3" max="3" width="16.6363636363636" customWidth="1"/>
    <col min="4" max="4" width="16.2727272727273" customWidth="1"/>
    <col min="5" max="5" width="28" customWidth="1"/>
  </cols>
  <sheetData>
    <row r="1" spans="1: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>
      <c r="A2" s="3" t="str">
        <f>"口腔门诊神经阻滞麻醉"</f>
        <v>口腔门诊神经阻滞麻醉</v>
      </c>
      <c r="B2" s="4">
        <v>36</v>
      </c>
      <c r="C2" s="3" t="str">
        <f>"次"</f>
        <v>次</v>
      </c>
      <c r="D2" s="3" t="str">
        <f>"次"</f>
        <v>次</v>
      </c>
      <c r="E2" s="3" t="str">
        <f>"麻醉费"</f>
        <v>麻醉费</v>
      </c>
    </row>
    <row r="3" spans="1:5">
      <c r="A3" s="3" t="str">
        <f>"小清创缝合"</f>
        <v>小清创缝合</v>
      </c>
      <c r="B3" s="4">
        <v>65</v>
      </c>
      <c r="C3" s="3" t="str">
        <f t="shared" ref="C3:C8" si="0">"次"</f>
        <v>次</v>
      </c>
      <c r="D3" s="3" t="str">
        <f t="shared" ref="D3:D8" si="1">"次"</f>
        <v>次</v>
      </c>
      <c r="E3" s="3" t="str">
        <f>"手术费"</f>
        <v>手术费</v>
      </c>
    </row>
    <row r="4" spans="1:5">
      <c r="A4" s="3" t="str">
        <f>"全口牙病系统检查与治疗设计"</f>
        <v>全口牙病系统检查与治疗设计</v>
      </c>
      <c r="B4" s="4">
        <v>12</v>
      </c>
      <c r="C4" s="3" t="str">
        <f>"-"</f>
        <v>-</v>
      </c>
      <c r="D4" s="3" t="str">
        <f t="shared" si="1"/>
        <v>次</v>
      </c>
      <c r="E4" s="3" t="str">
        <f t="shared" ref="E4:E8" si="2">"检查费"</f>
        <v>检查费</v>
      </c>
    </row>
    <row r="5" spans="1:5">
      <c r="A5" s="3" t="str">
        <f>"咬合检查"</f>
        <v>咬合检查</v>
      </c>
      <c r="B5" s="4">
        <v>2.4</v>
      </c>
      <c r="C5" s="3" t="str">
        <f t="shared" si="0"/>
        <v>次</v>
      </c>
      <c r="D5" s="3" t="str">
        <f t="shared" si="1"/>
        <v>次</v>
      </c>
      <c r="E5" s="3" t="str">
        <f t="shared" si="2"/>
        <v>检查费</v>
      </c>
    </row>
    <row r="6" spans="1:5">
      <c r="A6" s="3" t="str">
        <f>"口腔模型制备"</f>
        <v>口腔模型制备</v>
      </c>
      <c r="B6" s="4">
        <v>24</v>
      </c>
      <c r="C6" s="3" t="str">
        <f>"单颌"</f>
        <v>单颌</v>
      </c>
      <c r="D6" s="3" t="str">
        <f>"单颌"</f>
        <v>单颌</v>
      </c>
      <c r="E6" s="3" t="str">
        <f t="shared" ref="E6:E17" si="3">"治疗费"</f>
        <v>治疗费</v>
      </c>
    </row>
    <row r="7" spans="1:5">
      <c r="A7" s="3" t="str">
        <f>"根管长度测量"</f>
        <v>根管长度测量</v>
      </c>
      <c r="B7" s="4">
        <v>4.8</v>
      </c>
      <c r="C7" s="3" t="str">
        <f>"每根管"</f>
        <v>每根管</v>
      </c>
      <c r="D7" s="3" t="str">
        <f>"每根管"</f>
        <v>每根管</v>
      </c>
      <c r="E7" s="3" t="str">
        <f t="shared" si="2"/>
        <v>检查费</v>
      </c>
    </row>
    <row r="8" spans="1:5">
      <c r="A8" s="3" t="str">
        <f>"咬合动度测定"</f>
        <v>咬合动度测定</v>
      </c>
      <c r="B8" s="4">
        <v>2.4</v>
      </c>
      <c r="C8" s="3" t="str">
        <f t="shared" si="0"/>
        <v>次</v>
      </c>
      <c r="D8" s="3" t="str">
        <f t="shared" si="1"/>
        <v>次</v>
      </c>
      <c r="E8" s="3" t="str">
        <f t="shared" si="2"/>
        <v>检查费</v>
      </c>
    </row>
    <row r="9" spans="1:5">
      <c r="A9" s="3" t="str">
        <f>"调合"</f>
        <v>调合</v>
      </c>
      <c r="B9" s="4">
        <v>3.6</v>
      </c>
      <c r="C9" s="3" t="str">
        <f t="shared" ref="C9:C15" si="4">"每牙"</f>
        <v>每牙</v>
      </c>
      <c r="D9" s="3" t="str">
        <f t="shared" ref="D9:D15" si="5">"每牙"</f>
        <v>每牙</v>
      </c>
      <c r="E9" s="3" t="str">
        <f t="shared" si="3"/>
        <v>治疗费</v>
      </c>
    </row>
    <row r="10" spans="1:5">
      <c r="A10" s="3" t="str">
        <f>"氟防龋治疗"</f>
        <v>氟防龋治疗</v>
      </c>
      <c r="B10" s="4">
        <v>1.2</v>
      </c>
      <c r="C10" s="3" t="str">
        <f t="shared" si="4"/>
        <v>每牙</v>
      </c>
      <c r="D10" s="3" t="str">
        <f t="shared" si="5"/>
        <v>每牙</v>
      </c>
      <c r="E10" s="3" t="str">
        <f t="shared" si="3"/>
        <v>治疗费</v>
      </c>
    </row>
    <row r="11" spans="1:5">
      <c r="A11" s="3" t="str">
        <f>"牙脱敏治疗"</f>
        <v>牙脱敏治疗</v>
      </c>
      <c r="B11" s="4">
        <v>3.6</v>
      </c>
      <c r="C11" s="3" t="str">
        <f>"-"</f>
        <v>-</v>
      </c>
      <c r="D11" s="3" t="str">
        <f t="shared" si="5"/>
        <v>每牙</v>
      </c>
      <c r="E11" s="3" t="str">
        <f t="shared" si="3"/>
        <v>治疗费</v>
      </c>
    </row>
    <row r="12" spans="1:5">
      <c r="A12" s="3" t="str">
        <f>"口腔局部冲洗上药"</f>
        <v>口腔局部冲洗上药</v>
      </c>
      <c r="B12" s="4">
        <v>1.2</v>
      </c>
      <c r="C12" s="3" t="str">
        <f t="shared" si="4"/>
        <v>每牙</v>
      </c>
      <c r="D12" s="3" t="str">
        <f t="shared" si="5"/>
        <v>每牙</v>
      </c>
      <c r="E12" s="3" t="str">
        <f t="shared" si="3"/>
        <v>治疗费</v>
      </c>
    </row>
    <row r="13" spans="1:5">
      <c r="A13" s="3" t="str">
        <f>"不良修复体拆除"</f>
        <v>不良修复体拆除</v>
      </c>
      <c r="B13" s="4">
        <v>5.5</v>
      </c>
      <c r="C13" s="3" t="str">
        <f t="shared" si="4"/>
        <v>每牙</v>
      </c>
      <c r="D13" s="3" t="str">
        <f t="shared" si="5"/>
        <v>每牙</v>
      </c>
      <c r="E13" s="3" t="str">
        <f t="shared" si="3"/>
        <v>治疗费</v>
      </c>
    </row>
    <row r="14" spans="1:5">
      <c r="A14" s="3" t="str">
        <f>"牙开窗助萌术"</f>
        <v>牙开窗助萌术</v>
      </c>
      <c r="B14" s="4">
        <v>36</v>
      </c>
      <c r="C14" s="3" t="str">
        <f t="shared" si="4"/>
        <v>每牙</v>
      </c>
      <c r="D14" s="3" t="str">
        <f t="shared" si="5"/>
        <v>每牙</v>
      </c>
      <c r="E14" s="3" t="str">
        <f t="shared" si="3"/>
        <v>治疗费</v>
      </c>
    </row>
    <row r="15" spans="1:5">
      <c r="A15" s="3" t="str">
        <f>"口腔局部止血"</f>
        <v>口腔局部止血</v>
      </c>
      <c r="B15" s="4">
        <v>12</v>
      </c>
      <c r="C15" s="3" t="str">
        <f t="shared" si="4"/>
        <v>每牙</v>
      </c>
      <c r="D15" s="3" t="str">
        <f t="shared" si="5"/>
        <v>每牙</v>
      </c>
      <c r="E15" s="3" t="str">
        <f t="shared" si="3"/>
        <v>治疗费</v>
      </c>
    </row>
    <row r="16" spans="1:5">
      <c r="A16" s="3" t="str">
        <f>"口内脓肿切开引流术"</f>
        <v>口内脓肿切开引流术</v>
      </c>
      <c r="B16" s="4">
        <v>11</v>
      </c>
      <c r="C16" s="3" t="str">
        <f>"例"</f>
        <v>例</v>
      </c>
      <c r="D16" s="3" t="str">
        <f>"例"</f>
        <v>例</v>
      </c>
      <c r="E16" s="3" t="str">
        <f t="shared" si="3"/>
        <v>治疗费</v>
      </c>
    </row>
    <row r="17" spans="1:5">
      <c r="A17" s="3" t="str">
        <f>"简单充填术"</f>
        <v>简单充填术</v>
      </c>
      <c r="B17" s="4">
        <v>14</v>
      </c>
      <c r="C17" s="3" t="str">
        <f t="shared" ref="C17:C21" si="6">"每牙"</f>
        <v>每牙</v>
      </c>
      <c r="D17" s="3" t="str">
        <f t="shared" ref="D17:D26" si="7">"每牙"</f>
        <v>每牙</v>
      </c>
      <c r="E17" s="3" t="str">
        <f t="shared" si="3"/>
        <v>治疗费</v>
      </c>
    </row>
    <row r="18" spans="1:5">
      <c r="A18" s="3" t="str">
        <f>"3M光固化玻璃离子垫底材料（Vitrebond）"</f>
        <v>3M光固化玻璃离子垫底材料（Vitrebond）</v>
      </c>
      <c r="B18" s="4">
        <v>20</v>
      </c>
      <c r="C18" s="3" t="str">
        <f>"粉9g/瓶+液5.5ml/瓶"</f>
        <v>粉9g/瓶+液5.5ml/瓶</v>
      </c>
      <c r="D18" s="3" t="str">
        <f t="shared" si="7"/>
        <v>每牙</v>
      </c>
      <c r="E18" s="3" t="str">
        <f t="shared" ref="E18:E23" si="8">"材料费"</f>
        <v>材料费</v>
      </c>
    </row>
    <row r="19" spans="1:5">
      <c r="A19" s="3" t="str">
        <f>"光固化复合树脂（3M）"</f>
        <v>光固化复合树脂（3M）</v>
      </c>
      <c r="B19" s="4">
        <v>42</v>
      </c>
      <c r="C19" s="3" t="str">
        <f>"注射器装，4g/支- (P60型)"</f>
        <v>注射器装，4g/支- (P60型)</v>
      </c>
      <c r="D19" s="3" t="str">
        <f t="shared" si="7"/>
        <v>每牙</v>
      </c>
      <c r="E19" s="3" t="str">
        <f t="shared" si="8"/>
        <v>材料费</v>
      </c>
    </row>
    <row r="20" spans="1:5">
      <c r="A20" s="3" t="str">
        <f>"复杂充填术"</f>
        <v>复杂充填术</v>
      </c>
      <c r="B20" s="4">
        <v>22</v>
      </c>
      <c r="C20" s="3" t="str">
        <f t="shared" si="6"/>
        <v>每牙</v>
      </c>
      <c r="D20" s="3" t="str">
        <f t="shared" si="7"/>
        <v>每牙</v>
      </c>
      <c r="E20" s="3" t="str">
        <f t="shared" ref="E20:E27" si="9">"治疗费"</f>
        <v>治疗费</v>
      </c>
    </row>
    <row r="21" spans="1:5">
      <c r="A21" s="3" t="str">
        <f>"牙体缺损粘接修复术"</f>
        <v>牙体缺损粘接修复术</v>
      </c>
      <c r="B21" s="4">
        <v>24</v>
      </c>
      <c r="C21" s="3" t="str">
        <f t="shared" si="6"/>
        <v>每牙</v>
      </c>
      <c r="D21" s="3" t="str">
        <f t="shared" si="7"/>
        <v>每牙</v>
      </c>
      <c r="E21" s="3" t="str">
        <f t="shared" si="9"/>
        <v>治疗费</v>
      </c>
    </row>
    <row r="22" spans="1:5">
      <c r="A22" s="3" t="str">
        <f>"3592259-流动树脂"</f>
        <v>3592259-流动树脂</v>
      </c>
      <c r="B22" s="4">
        <v>42</v>
      </c>
      <c r="C22" s="3" t="str">
        <f>"注射器装，2*2g／包"</f>
        <v>注射器装，2*2g／包</v>
      </c>
      <c r="D22" s="3" t="str">
        <f t="shared" si="7"/>
        <v>每牙</v>
      </c>
      <c r="E22" s="3" t="str">
        <f t="shared" si="8"/>
        <v>材料费</v>
      </c>
    </row>
    <row r="23" spans="1:5">
      <c r="A23" s="3" t="str">
        <f>"玻璃离子水门汀"</f>
        <v>玻璃离子水门汀</v>
      </c>
      <c r="B23" s="4">
        <v>12</v>
      </c>
      <c r="C23" s="3" t="str">
        <f>"粉30g，液12ml"</f>
        <v>粉30g，液12ml</v>
      </c>
      <c r="D23" s="3" t="str">
        <f t="shared" si="7"/>
        <v>每牙</v>
      </c>
      <c r="E23" s="3" t="str">
        <f t="shared" si="8"/>
        <v>材料费</v>
      </c>
    </row>
    <row r="24" spans="1:5">
      <c r="A24" s="3" t="str">
        <f>"充填体抛光术"</f>
        <v>充填体抛光术</v>
      </c>
      <c r="B24" s="4" t="str">
        <f>"0.6"</f>
        <v>0.6</v>
      </c>
      <c r="C24" s="3" t="str">
        <f>"-"</f>
        <v>-</v>
      </c>
      <c r="D24" s="3" t="str">
        <f t="shared" si="7"/>
        <v>每牙</v>
      </c>
      <c r="E24" s="3" t="str">
        <f t="shared" si="9"/>
        <v>治疗费</v>
      </c>
    </row>
    <row r="25" spans="1:5">
      <c r="A25" s="3" t="str">
        <f>"前牙美容修复术"</f>
        <v>前牙美容修复术</v>
      </c>
      <c r="B25" s="4">
        <v>40</v>
      </c>
      <c r="C25" s="3" t="str">
        <f>"项"</f>
        <v>项</v>
      </c>
      <c r="D25" s="3" t="str">
        <f t="shared" si="7"/>
        <v>每牙</v>
      </c>
      <c r="E25" s="3" t="str">
        <f t="shared" si="9"/>
        <v>治疗费</v>
      </c>
    </row>
    <row r="26" spans="1:5">
      <c r="A26" s="3" t="str">
        <f>"前牙美容修复术(前牙切角、切缘修复）"</f>
        <v>前牙美容修复术(前牙切角、切缘修复）</v>
      </c>
      <c r="B26" s="4">
        <v>40</v>
      </c>
      <c r="C26" s="3" t="str">
        <f t="shared" ref="C26:C32" si="10">"每牙"</f>
        <v>每牙</v>
      </c>
      <c r="D26" s="3" t="str">
        <f t="shared" si="7"/>
        <v>每牙</v>
      </c>
      <c r="E26" s="3" t="str">
        <f t="shared" si="9"/>
        <v>治疗费</v>
      </c>
    </row>
    <row r="27" spans="1:5">
      <c r="A27" s="3" t="str">
        <f>"橡皮障隔湿法"</f>
        <v>橡皮障隔湿法</v>
      </c>
      <c r="B27" s="4">
        <v>9</v>
      </c>
      <c r="C27" s="3" t="str">
        <f>"次"</f>
        <v>次</v>
      </c>
      <c r="D27" s="3" t="str">
        <f>"次"</f>
        <v>次</v>
      </c>
      <c r="E27" s="3" t="str">
        <f t="shared" si="9"/>
        <v>治疗费</v>
      </c>
    </row>
    <row r="28" spans="1:5">
      <c r="A28" s="3" t="str">
        <f>"牙齿漂白术"</f>
        <v>牙齿漂白术</v>
      </c>
      <c r="B28" s="4">
        <v>45</v>
      </c>
      <c r="C28" s="3" t="str">
        <f>"项"</f>
        <v>项</v>
      </c>
      <c r="D28" s="3" t="str">
        <f t="shared" ref="D28:D32" si="11">"每牙"</f>
        <v>每牙</v>
      </c>
      <c r="E28" s="3" t="str">
        <f>"治疗费(含材料费)"</f>
        <v>治疗费(含材料费)</v>
      </c>
    </row>
    <row r="29" spans="1:5">
      <c r="A29" s="3" t="str">
        <f>"盖髓术"</f>
        <v>盖髓术</v>
      </c>
      <c r="B29" s="4">
        <v>5.4</v>
      </c>
      <c r="C29" s="3" t="str">
        <f t="shared" si="10"/>
        <v>每牙</v>
      </c>
      <c r="D29" s="3" t="str">
        <f t="shared" si="11"/>
        <v>每牙</v>
      </c>
      <c r="E29" s="3" t="str">
        <f t="shared" ref="E29:E34" si="12">"治疗费"</f>
        <v>治疗费</v>
      </c>
    </row>
    <row r="30" spans="1:5">
      <c r="A30" s="3" t="str">
        <f>"牙髓失活术"</f>
        <v>牙髓失活术</v>
      </c>
      <c r="B30" s="4">
        <v>24</v>
      </c>
      <c r="C30" s="3" t="str">
        <f t="shared" si="10"/>
        <v>每牙</v>
      </c>
      <c r="D30" s="3" t="str">
        <f t="shared" si="11"/>
        <v>每牙</v>
      </c>
      <c r="E30" s="3" t="str">
        <f t="shared" si="12"/>
        <v>治疗费</v>
      </c>
    </row>
    <row r="31" spans="1:5">
      <c r="A31" s="3" t="str">
        <f>"开髓引流术"</f>
        <v>开髓引流术</v>
      </c>
      <c r="B31" s="4">
        <v>24</v>
      </c>
      <c r="C31" s="3" t="str">
        <f t="shared" si="10"/>
        <v>每牙</v>
      </c>
      <c r="D31" s="3" t="str">
        <f t="shared" si="11"/>
        <v>每牙</v>
      </c>
      <c r="E31" s="3" t="str">
        <f t="shared" si="12"/>
        <v>治疗费</v>
      </c>
    </row>
    <row r="32" spans="1:5">
      <c r="A32" s="3" t="str">
        <f>"干髓术"</f>
        <v>干髓术</v>
      </c>
      <c r="B32" s="4">
        <v>12</v>
      </c>
      <c r="C32" s="3" t="str">
        <f t="shared" si="10"/>
        <v>每牙</v>
      </c>
      <c r="D32" s="3" t="str">
        <f t="shared" si="11"/>
        <v>每牙</v>
      </c>
      <c r="E32" s="3" t="str">
        <f t="shared" si="12"/>
        <v>治疗费</v>
      </c>
    </row>
    <row r="33" spans="1:5">
      <c r="A33" s="3" t="str">
        <f>"牙髓摘除术"</f>
        <v>牙髓摘除术</v>
      </c>
      <c r="B33" s="4">
        <v>12</v>
      </c>
      <c r="C33" s="3" t="str">
        <f t="shared" ref="C33:C36" si="13">"每根管"</f>
        <v>每根管</v>
      </c>
      <c r="D33" s="3" t="str">
        <f t="shared" ref="D33:D40" si="14">"每根管"</f>
        <v>每根管</v>
      </c>
      <c r="E33" s="3" t="str">
        <f t="shared" si="12"/>
        <v>治疗费</v>
      </c>
    </row>
    <row r="34" spans="1:5">
      <c r="A34" s="3" t="str">
        <f>"根管预备"</f>
        <v>根管预备</v>
      </c>
      <c r="B34" s="4">
        <v>30</v>
      </c>
      <c r="C34" s="3" t="str">
        <f t="shared" si="13"/>
        <v>每根管</v>
      </c>
      <c r="D34" s="3" t="str">
        <f t="shared" si="14"/>
        <v>每根管</v>
      </c>
      <c r="E34" s="3" t="str">
        <f t="shared" si="12"/>
        <v>治疗费</v>
      </c>
    </row>
    <row r="35" spans="1:5">
      <c r="A35" s="3" t="str">
        <f>"机用根管锉"</f>
        <v>机用根管锉</v>
      </c>
      <c r="B35" s="4">
        <v>180</v>
      </c>
      <c r="C35" s="3" t="str">
        <f>"M3-Pro-1506-21"</f>
        <v>M3-Pro-1506-21</v>
      </c>
      <c r="D35" s="3" t="str">
        <f>"板"</f>
        <v>板</v>
      </c>
      <c r="E35" s="3" t="str">
        <f>"材料费"</f>
        <v>材料费</v>
      </c>
    </row>
    <row r="36" spans="1:5">
      <c r="A36" s="3" t="str">
        <f>"根管充填术"</f>
        <v>根管充填术</v>
      </c>
      <c r="B36" s="4">
        <v>30</v>
      </c>
      <c r="C36" s="3" t="str">
        <f t="shared" si="13"/>
        <v>每根管</v>
      </c>
      <c r="D36" s="3" t="str">
        <f t="shared" si="14"/>
        <v>每根管</v>
      </c>
      <c r="E36" s="3" t="str">
        <f t="shared" ref="E36:E61" si="15">"治疗费"</f>
        <v>治疗费</v>
      </c>
    </row>
    <row r="37" spans="1:5">
      <c r="A37" s="3" t="str">
        <f>"根管充填糊剂"</f>
        <v>根管充填糊剂</v>
      </c>
      <c r="B37" s="4">
        <v>23.2</v>
      </c>
      <c r="C37" s="3" t="str">
        <f>"2g/支"</f>
        <v>2g/支</v>
      </c>
      <c r="D37" s="3" t="str">
        <f t="shared" si="14"/>
        <v>每根管</v>
      </c>
      <c r="E37" s="3" t="str">
        <f>"材料费"</f>
        <v>材料费</v>
      </c>
    </row>
    <row r="38" spans="1:5">
      <c r="A38" s="3" t="str">
        <f>"髓腔消毒术"</f>
        <v>髓腔消毒术</v>
      </c>
      <c r="B38" s="4">
        <v>12</v>
      </c>
      <c r="C38" s="3" t="str">
        <f>"每根管"</f>
        <v>每根管</v>
      </c>
      <c r="D38" s="3" t="str">
        <f t="shared" si="14"/>
        <v>每根管</v>
      </c>
      <c r="E38" s="3" t="str">
        <f t="shared" si="15"/>
        <v>治疗费</v>
      </c>
    </row>
    <row r="39" spans="1:5">
      <c r="A39" s="3" t="str">
        <f>"根管消毒术"</f>
        <v>根管消毒术</v>
      </c>
      <c r="B39" s="4">
        <v>12</v>
      </c>
      <c r="C39" s="3" t="str">
        <f>"次"</f>
        <v>次</v>
      </c>
      <c r="D39" s="3" t="str">
        <f t="shared" si="14"/>
        <v>每根管</v>
      </c>
      <c r="E39" s="3" t="str">
        <f t="shared" si="15"/>
        <v>治疗费</v>
      </c>
    </row>
    <row r="40" spans="1:5">
      <c r="A40" s="3" t="str">
        <f>"根管再治疗术"</f>
        <v>根管再治疗术</v>
      </c>
      <c r="B40" s="4">
        <v>40</v>
      </c>
      <c r="C40" s="3" t="str">
        <f>"每根管"</f>
        <v>每根管</v>
      </c>
      <c r="D40" s="3" t="str">
        <f t="shared" si="14"/>
        <v>每根管</v>
      </c>
      <c r="E40" s="3" t="str">
        <f t="shared" si="15"/>
        <v>治疗费</v>
      </c>
    </row>
    <row r="41" spans="1:5">
      <c r="A41" s="3" t="str">
        <f>"根管扩通术"</f>
        <v>根管扩通术</v>
      </c>
      <c r="B41" s="4">
        <v>36</v>
      </c>
      <c r="C41" s="3" t="str">
        <f>"项"</f>
        <v>项</v>
      </c>
      <c r="D41" s="3" t="str">
        <f>"项"</f>
        <v>项</v>
      </c>
      <c r="E41" s="3" t="str">
        <f t="shared" si="15"/>
        <v>治疗费</v>
      </c>
    </row>
    <row r="42" spans="1:5">
      <c r="A42" s="3" t="str">
        <f>"窝沟封闭"</f>
        <v>窝沟封闭</v>
      </c>
      <c r="B42" s="4">
        <v>24</v>
      </c>
      <c r="C42" s="3" t="str">
        <f t="shared" ref="C42:C44" si="16">"每牙"</f>
        <v>每牙</v>
      </c>
      <c r="D42" s="3" t="str">
        <f t="shared" ref="D42:D46" si="17">"每牙"</f>
        <v>每牙</v>
      </c>
      <c r="E42" s="3" t="str">
        <f t="shared" si="15"/>
        <v>治疗费</v>
      </c>
    </row>
    <row r="43" spans="1:5">
      <c r="A43" s="3" t="str">
        <f>"洁治"</f>
        <v>洁治</v>
      </c>
      <c r="B43" s="4">
        <v>2.7</v>
      </c>
      <c r="C43" s="3" t="str">
        <f t="shared" si="16"/>
        <v>每牙</v>
      </c>
      <c r="D43" s="3" t="str">
        <f t="shared" si="17"/>
        <v>每牙</v>
      </c>
      <c r="E43" s="3" t="str">
        <f t="shared" si="15"/>
        <v>治疗费</v>
      </c>
    </row>
    <row r="44" spans="1:5">
      <c r="A44" s="3" t="str">
        <f>"龈下刮治"</f>
        <v>龈下刮治</v>
      </c>
      <c r="B44" s="4">
        <v>3.6</v>
      </c>
      <c r="C44" s="3" t="str">
        <f t="shared" si="16"/>
        <v>每牙</v>
      </c>
      <c r="D44" s="3" t="str">
        <f t="shared" si="17"/>
        <v>每牙</v>
      </c>
      <c r="E44" s="3" t="str">
        <f t="shared" si="15"/>
        <v>治疗费</v>
      </c>
    </row>
    <row r="45" spans="1:5">
      <c r="A45" s="3" t="str">
        <f>"牙面光洁术"</f>
        <v>牙面光洁术</v>
      </c>
      <c r="B45" s="4">
        <v>1.2</v>
      </c>
      <c r="C45" s="3" t="str">
        <f>"-"</f>
        <v>-</v>
      </c>
      <c r="D45" s="3" t="str">
        <f t="shared" si="17"/>
        <v>每牙</v>
      </c>
      <c r="E45" s="3" t="str">
        <f t="shared" si="15"/>
        <v>治疗费</v>
      </c>
    </row>
    <row r="46" spans="1:5">
      <c r="A46" s="3" t="str">
        <f>"根面平整术"</f>
        <v>根面平整术</v>
      </c>
      <c r="B46" s="4">
        <v>8.4</v>
      </c>
      <c r="C46" s="3" t="str">
        <f t="shared" ref="C46:C51" si="18">"每牙"</f>
        <v>每牙</v>
      </c>
      <c r="D46" s="3" t="str">
        <f t="shared" si="17"/>
        <v>每牙</v>
      </c>
      <c r="E46" s="3" t="str">
        <f t="shared" si="15"/>
        <v>治疗费</v>
      </c>
    </row>
    <row r="47" spans="1:5">
      <c r="A47" s="3" t="str">
        <f>"冠周炎局部治疗"</f>
        <v>冠周炎局部治疗</v>
      </c>
      <c r="B47" s="4">
        <v>10</v>
      </c>
      <c r="C47" s="3" t="str">
        <f>"次"</f>
        <v>次</v>
      </c>
      <c r="D47" s="3" t="str">
        <f>"次"</f>
        <v>次</v>
      </c>
      <c r="E47" s="3" t="str">
        <f t="shared" si="15"/>
        <v>治疗费</v>
      </c>
    </row>
    <row r="48" spans="1:5">
      <c r="A48" s="3" t="str">
        <f>"干槽症换药"</f>
        <v>干槽症换药</v>
      </c>
      <c r="B48" s="4">
        <v>17</v>
      </c>
      <c r="C48" s="3" t="str">
        <f>"-"</f>
        <v>-</v>
      </c>
      <c r="D48" s="3" t="str">
        <f>"次"</f>
        <v>次</v>
      </c>
      <c r="E48" s="3" t="str">
        <f t="shared" si="15"/>
        <v>治疗费</v>
      </c>
    </row>
    <row r="49" spans="1:5">
      <c r="A49" s="3" t="str">
        <f>"活动桥"</f>
        <v>活动桥</v>
      </c>
      <c r="B49" s="4">
        <v>60</v>
      </c>
      <c r="C49" s="3" t="str">
        <f t="shared" si="18"/>
        <v>每牙</v>
      </c>
      <c r="D49" s="3" t="str">
        <f t="shared" ref="D49:D53" si="19">"每牙"</f>
        <v>每牙</v>
      </c>
      <c r="E49" s="3" t="str">
        <f t="shared" si="15"/>
        <v>治疗费</v>
      </c>
    </row>
    <row r="50" spans="1:5">
      <c r="A50" s="3" t="str">
        <f>"塑料可摘局部义齿"</f>
        <v>塑料可摘局部义齿</v>
      </c>
      <c r="B50" s="4">
        <v>96</v>
      </c>
      <c r="C50" s="3" t="str">
        <f t="shared" si="18"/>
        <v>每牙</v>
      </c>
      <c r="D50" s="3" t="str">
        <f t="shared" si="19"/>
        <v>每牙</v>
      </c>
      <c r="E50" s="3" t="str">
        <f t="shared" si="15"/>
        <v>治疗费</v>
      </c>
    </row>
    <row r="51" spans="1:5">
      <c r="A51" s="3" t="str">
        <f>"铸造可摘局部义齿"</f>
        <v>铸造可摘局部义齿</v>
      </c>
      <c r="B51" s="4">
        <v>240</v>
      </c>
      <c r="C51" s="3" t="str">
        <f t="shared" si="18"/>
        <v>每牙</v>
      </c>
      <c r="D51" s="3" t="str">
        <f t="shared" si="19"/>
        <v>每牙</v>
      </c>
      <c r="E51" s="3" t="str">
        <f t="shared" si="15"/>
        <v>治疗费</v>
      </c>
    </row>
    <row r="52" spans="1:5">
      <c r="A52" s="3" t="str">
        <f>"铸造可摘义齿"</f>
        <v>铸造可摘义齿</v>
      </c>
      <c r="B52" s="4">
        <v>200</v>
      </c>
      <c r="C52" s="3" t="str">
        <f>"牙"</f>
        <v>牙</v>
      </c>
      <c r="D52" s="3" t="str">
        <f t="shared" si="19"/>
        <v>每牙</v>
      </c>
      <c r="E52" s="3" t="str">
        <f t="shared" si="15"/>
        <v>治疗费</v>
      </c>
    </row>
    <row r="53" spans="1:5">
      <c r="A53" s="3" t="str">
        <f>"美容义齿（铸瓷全冠）"</f>
        <v>美容义齿（铸瓷全冠）</v>
      </c>
      <c r="B53" s="4">
        <v>1800</v>
      </c>
      <c r="C53" s="3" t="str">
        <f t="shared" ref="C53:C57" si="20">"/"</f>
        <v>/</v>
      </c>
      <c r="D53" s="3" t="str">
        <f t="shared" si="19"/>
        <v>每牙</v>
      </c>
      <c r="E53" s="3" t="str">
        <f t="shared" si="15"/>
        <v>治疗费</v>
      </c>
    </row>
    <row r="54" spans="1:5">
      <c r="A54" s="3" t="str">
        <f>"美容义齿（纯钛中支架）"</f>
        <v>美容义齿（纯钛中支架）</v>
      </c>
      <c r="B54" s="5">
        <v>2000</v>
      </c>
      <c r="C54" s="6" t="str">
        <f t="shared" si="20"/>
        <v>/</v>
      </c>
      <c r="D54" s="6" t="str">
        <f>"每件"</f>
        <v>每件</v>
      </c>
      <c r="E54" s="6" t="str">
        <f t="shared" si="15"/>
        <v>治疗费</v>
      </c>
    </row>
    <row r="55" spans="1:5">
      <c r="A55" s="3" t="str">
        <f>"美容义齿(美晶全瓷)"</f>
        <v>美容义齿(美晶全瓷)</v>
      </c>
      <c r="B55" s="4">
        <v>2000</v>
      </c>
      <c r="C55" s="3" t="str">
        <f t="shared" si="20"/>
        <v>/</v>
      </c>
      <c r="D55" s="3" t="str">
        <f t="shared" ref="D55:D57" si="21">"每牙"</f>
        <v>每牙</v>
      </c>
      <c r="E55" s="3" t="str">
        <f t="shared" si="15"/>
        <v>治疗费</v>
      </c>
    </row>
    <row r="56" spans="1:5">
      <c r="A56" s="3" t="str">
        <f>"美容义齿(威兰德全瓷)"</f>
        <v>美容义齿(威兰德全瓷)</v>
      </c>
      <c r="B56" s="5">
        <v>2800</v>
      </c>
      <c r="C56" s="6" t="str">
        <f t="shared" si="20"/>
        <v>/</v>
      </c>
      <c r="D56" s="6" t="str">
        <f t="shared" si="21"/>
        <v>每牙</v>
      </c>
      <c r="E56" s="6" t="str">
        <f t="shared" si="15"/>
        <v>治疗费</v>
      </c>
    </row>
    <row r="57" spans="1:5">
      <c r="A57" s="3" t="str">
        <f>"美容义齿(纤维桩)"</f>
        <v>美容义齿(纤维桩)</v>
      </c>
      <c r="B57" s="4">
        <v>400</v>
      </c>
      <c r="C57" s="3" t="str">
        <f t="shared" si="20"/>
        <v>/</v>
      </c>
      <c r="D57" s="3" t="str">
        <f t="shared" si="21"/>
        <v>每牙</v>
      </c>
      <c r="E57" s="3" t="str">
        <f t="shared" si="15"/>
        <v>治疗费</v>
      </c>
    </row>
    <row r="58" spans="1:5">
      <c r="A58" s="3" t="str">
        <f>"美容义齿(维他灵大支架)"</f>
        <v>美容义齿(维他灵大支架)</v>
      </c>
      <c r="B58" s="4">
        <v>4000</v>
      </c>
      <c r="C58" s="3" t="str">
        <f>"每件"</f>
        <v>每件</v>
      </c>
      <c r="D58" s="3" t="str">
        <f>"每件"</f>
        <v>每件</v>
      </c>
      <c r="E58" s="3" t="str">
        <f t="shared" si="15"/>
        <v>治疗费</v>
      </c>
    </row>
    <row r="59" spans="1:5">
      <c r="A59" s="3" t="str">
        <f>"美容义齿(维他灵中支架)"</f>
        <v>美容义齿(维他灵中支架)</v>
      </c>
      <c r="B59" s="4">
        <v>3500</v>
      </c>
      <c r="C59" s="3" t="str">
        <f>"/"</f>
        <v>/</v>
      </c>
      <c r="D59" s="3" t="str">
        <f t="shared" ref="D59:D63" si="22">"每牙"</f>
        <v>每牙</v>
      </c>
      <c r="E59" s="3" t="str">
        <f t="shared" si="15"/>
        <v>治疗费</v>
      </c>
    </row>
    <row r="60" spans="1:5">
      <c r="A60" s="3" t="str">
        <f>"美容义齿(四层色美容修复总义齿)"</f>
        <v>美容义齿(四层色美容修复总义齿)</v>
      </c>
      <c r="B60" s="4">
        <v>2500</v>
      </c>
      <c r="C60" s="3" t="str">
        <f>"-"</f>
        <v>-</v>
      </c>
      <c r="D60" s="3" t="str">
        <f t="shared" si="22"/>
        <v>每牙</v>
      </c>
      <c r="E60" s="3" t="str">
        <f t="shared" si="15"/>
        <v>治疗费</v>
      </c>
    </row>
    <row r="61" spans="1:5">
      <c r="A61" s="3" t="str">
        <f>"美容义齿（计算机全瓷）"</f>
        <v>美容义齿（计算机全瓷）</v>
      </c>
      <c r="B61" s="4">
        <v>3000</v>
      </c>
      <c r="C61" s="3" t="str">
        <f t="shared" ref="C61:C64" si="23">"每牙"</f>
        <v>每牙</v>
      </c>
      <c r="D61" s="3" t="str">
        <f t="shared" si="22"/>
        <v>每牙</v>
      </c>
      <c r="E61" s="3" t="str">
        <f t="shared" si="15"/>
        <v>治疗费</v>
      </c>
    </row>
    <row r="62" spans="1:5">
      <c r="A62" s="3" t="str">
        <f>"美容义齿（超瓷冠）"</f>
        <v>美容义齿（超瓷冠）</v>
      </c>
      <c r="B62" s="4">
        <v>2000</v>
      </c>
      <c r="C62" s="3" t="str">
        <f t="shared" si="23"/>
        <v>每牙</v>
      </c>
      <c r="D62" s="3" t="str">
        <f t="shared" si="22"/>
        <v>每牙</v>
      </c>
      <c r="E62" s="3" t="str">
        <f t="shared" ref="E62:E66" si="24">"治疗费(含材料费)"</f>
        <v>治疗费(含材料费)</v>
      </c>
    </row>
    <row r="63" spans="1:5">
      <c r="A63" s="3" t="str">
        <f>"美容义齿(隐形义齿增加一牙加收)"</f>
        <v>美容义齿(隐形义齿增加一牙加收)</v>
      </c>
      <c r="B63" s="4">
        <v>50</v>
      </c>
      <c r="C63" s="3" t="str">
        <f t="shared" si="23"/>
        <v>每牙</v>
      </c>
      <c r="D63" s="3" t="str">
        <f t="shared" si="22"/>
        <v>每牙</v>
      </c>
      <c r="E63" s="3" t="str">
        <f t="shared" ref="E63:E67" si="25">"治疗费"</f>
        <v>治疗费</v>
      </c>
    </row>
    <row r="64" spans="1:5">
      <c r="A64" s="3" t="str">
        <f>"美容义齿（纯钛小支架）"</f>
        <v>美容义齿（纯钛小支架）</v>
      </c>
      <c r="B64" s="4">
        <v>1000</v>
      </c>
      <c r="C64" s="3" t="str">
        <f t="shared" si="23"/>
        <v>每牙</v>
      </c>
      <c r="D64" s="3" t="str">
        <f>"每件"</f>
        <v>每件</v>
      </c>
      <c r="E64" s="3" t="str">
        <f t="shared" si="24"/>
        <v>治疗费(含材料费)</v>
      </c>
    </row>
    <row r="65" spans="1:5">
      <c r="A65" s="3" t="str">
        <f>"美容义齿（纯钛烤瓷冠）"</f>
        <v>美容义齿（纯钛烤瓷冠）</v>
      </c>
      <c r="B65" s="4">
        <v>1500</v>
      </c>
      <c r="C65" s="3" t="str">
        <f t="shared" ref="C65:C70" si="26">"/"</f>
        <v>/</v>
      </c>
      <c r="D65" s="3" t="str">
        <f t="shared" ref="D65:D69" si="27">"每牙"</f>
        <v>每牙</v>
      </c>
      <c r="E65" s="3" t="str">
        <f t="shared" si="25"/>
        <v>治疗费</v>
      </c>
    </row>
    <row r="66" spans="1:5">
      <c r="A66" s="3" t="str">
        <f>"钴铬合金中支架2"</f>
        <v>钴铬合金中支架2</v>
      </c>
      <c r="B66" s="4">
        <v>800</v>
      </c>
      <c r="C66" s="3" t="str">
        <f t="shared" ref="C66:C71" si="28">"每牙"</f>
        <v>每牙</v>
      </c>
      <c r="D66" s="3" t="str">
        <f t="shared" si="27"/>
        <v>每牙</v>
      </c>
      <c r="E66" s="3" t="str">
        <f t="shared" si="24"/>
        <v>治疗费(含材料费)</v>
      </c>
    </row>
    <row r="67" spans="1:5">
      <c r="A67" s="3" t="str">
        <f>"美容义齿（贱金属烧烤瓷冠）"</f>
        <v>美容义齿（贱金属烧烤瓷冠）</v>
      </c>
      <c r="B67" s="4">
        <v>900</v>
      </c>
      <c r="C67" s="3" t="str">
        <f t="shared" si="26"/>
        <v>/</v>
      </c>
      <c r="D67" s="3" t="str">
        <f t="shared" si="27"/>
        <v>每牙</v>
      </c>
      <c r="E67" s="3" t="str">
        <f t="shared" si="25"/>
        <v>治疗费</v>
      </c>
    </row>
    <row r="68" spans="1:5">
      <c r="A68" s="3" t="str">
        <f>"钴铬合金大支架5"</f>
        <v>钴铬合金大支架5</v>
      </c>
      <c r="B68" s="4">
        <v>2500</v>
      </c>
      <c r="C68" s="3" t="str">
        <f t="shared" si="28"/>
        <v>每牙</v>
      </c>
      <c r="D68" s="3" t="str">
        <f t="shared" si="27"/>
        <v>每牙</v>
      </c>
      <c r="E68" s="3" t="str">
        <f>"治疗费(含材料费)"</f>
        <v>治疗费(含材料费)</v>
      </c>
    </row>
    <row r="69" spans="1:5">
      <c r="A69" s="3" t="str">
        <f>"美容义齿(隐形义齿)"</f>
        <v>美容义齿(隐形义齿)</v>
      </c>
      <c r="B69" s="4">
        <v>350</v>
      </c>
      <c r="C69" s="3" t="str">
        <f t="shared" si="26"/>
        <v>/</v>
      </c>
      <c r="D69" s="3" t="str">
        <f t="shared" si="27"/>
        <v>每牙</v>
      </c>
      <c r="E69" s="3" t="str">
        <f t="shared" ref="E69:E71" si="29">"治疗费"</f>
        <v>治疗费</v>
      </c>
    </row>
    <row r="70" spans="1:5">
      <c r="A70" s="3" t="str">
        <f>"美容义齿（纯钛大支架）"</f>
        <v>美容义齿（纯钛大支架）</v>
      </c>
      <c r="B70" s="4">
        <v>3500</v>
      </c>
      <c r="C70" s="3" t="str">
        <f t="shared" si="26"/>
        <v>/</v>
      </c>
      <c r="D70" s="3" t="str">
        <f>"每件"</f>
        <v>每件</v>
      </c>
      <c r="E70" s="3" t="str">
        <f t="shared" si="29"/>
        <v>治疗费</v>
      </c>
    </row>
    <row r="71" spans="1:5">
      <c r="A71" s="3" t="str">
        <f>"拆冠桥（铸造冠）"</f>
        <v>拆冠桥（铸造冠）</v>
      </c>
      <c r="B71" s="4">
        <v>20</v>
      </c>
      <c r="C71" s="3" t="str">
        <f t="shared" si="28"/>
        <v>每牙</v>
      </c>
      <c r="D71" s="3" t="str">
        <f t="shared" ref="D71:D81" si="30">"每牙"</f>
        <v>每牙</v>
      </c>
      <c r="E71" s="3" t="str">
        <f t="shared" si="29"/>
        <v>治疗费</v>
      </c>
    </row>
    <row r="72" spans="1:5">
      <c r="A72" s="3" t="str">
        <f>"吸收性明胶海绵"</f>
        <v>吸收性明胶海绵</v>
      </c>
      <c r="B72" s="4">
        <v>8</v>
      </c>
      <c r="C72" s="3" t="str">
        <f>"60mm*20mm*5mm"</f>
        <v>60mm*20mm*5mm</v>
      </c>
      <c r="D72" s="3" t="str">
        <f>"片"</f>
        <v>片</v>
      </c>
      <c r="E72" s="3" t="str">
        <f>"材料费"</f>
        <v>材料费</v>
      </c>
    </row>
    <row r="73" spans="1:5">
      <c r="A73" s="3" t="str">
        <f>"乳牙拔除术"</f>
        <v>乳牙拔除术</v>
      </c>
      <c r="B73" s="4">
        <v>7.7</v>
      </c>
      <c r="C73" s="3" t="str">
        <f t="shared" ref="C73:C78" si="31">"每牙"</f>
        <v>每牙</v>
      </c>
      <c r="D73" s="3" t="str">
        <f t="shared" si="30"/>
        <v>每牙</v>
      </c>
      <c r="E73" s="3" t="str">
        <f t="shared" ref="E73:E78" si="32">"手术费"</f>
        <v>手术费</v>
      </c>
    </row>
    <row r="74" spans="1:5">
      <c r="A74" s="3" t="str">
        <f>"前牙拔除术"</f>
        <v>前牙拔除术</v>
      </c>
      <c r="B74" s="4">
        <v>16</v>
      </c>
      <c r="C74" s="3" t="str">
        <f t="shared" si="31"/>
        <v>每牙</v>
      </c>
      <c r="D74" s="3" t="str">
        <f t="shared" si="30"/>
        <v>每牙</v>
      </c>
      <c r="E74" s="3" t="str">
        <f t="shared" si="32"/>
        <v>手术费</v>
      </c>
    </row>
    <row r="75" spans="1:5">
      <c r="A75" s="3" t="str">
        <f>"前磨牙拔除术"</f>
        <v>前磨牙拔除术</v>
      </c>
      <c r="B75" s="4">
        <v>22</v>
      </c>
      <c r="C75" s="3" t="str">
        <f t="shared" si="31"/>
        <v>每牙</v>
      </c>
      <c r="D75" s="3" t="str">
        <f t="shared" si="30"/>
        <v>每牙</v>
      </c>
      <c r="E75" s="3" t="str">
        <f t="shared" si="32"/>
        <v>手术费</v>
      </c>
    </row>
    <row r="76" spans="1:5">
      <c r="A76" s="3" t="str">
        <f>"磨牙拔除术"</f>
        <v>磨牙拔除术</v>
      </c>
      <c r="B76" s="4">
        <v>27</v>
      </c>
      <c r="C76" s="3" t="str">
        <f t="shared" si="31"/>
        <v>每牙</v>
      </c>
      <c r="D76" s="3" t="str">
        <f t="shared" si="30"/>
        <v>每牙</v>
      </c>
      <c r="E76" s="3" t="str">
        <f t="shared" si="32"/>
        <v>手术费</v>
      </c>
    </row>
    <row r="77" spans="1:5">
      <c r="A77" s="3" t="str">
        <f>"复杂牙拔除术"</f>
        <v>复杂牙拔除术</v>
      </c>
      <c r="B77" s="4">
        <v>50</v>
      </c>
      <c r="C77" s="3" t="str">
        <f t="shared" si="31"/>
        <v>每牙</v>
      </c>
      <c r="D77" s="3" t="str">
        <f t="shared" si="30"/>
        <v>每牙</v>
      </c>
      <c r="E77" s="3" t="str">
        <f t="shared" si="32"/>
        <v>手术费</v>
      </c>
    </row>
    <row r="78" spans="1:5">
      <c r="A78" s="3" t="str">
        <f>"阻生牙拔除术"</f>
        <v>阻生牙拔除术</v>
      </c>
      <c r="B78" s="4">
        <v>122</v>
      </c>
      <c r="C78" s="3" t="str">
        <f t="shared" si="31"/>
        <v>每牙</v>
      </c>
      <c r="D78" s="3" t="str">
        <f t="shared" si="30"/>
        <v>每牙</v>
      </c>
      <c r="E78" s="3" t="str">
        <f t="shared" si="32"/>
        <v>手术费</v>
      </c>
    </row>
    <row r="79" spans="1:5">
      <c r="A79" s="3" t="str">
        <f>"牙龈切除术"</f>
        <v>牙龈切除术</v>
      </c>
      <c r="B79" s="4">
        <v>43</v>
      </c>
      <c r="C79" s="3" t="str">
        <f>"-"</f>
        <v>-</v>
      </c>
      <c r="D79" s="3" t="str">
        <f t="shared" si="30"/>
        <v>每牙</v>
      </c>
      <c r="E79" s="3" t="str">
        <f>"治疗费"</f>
        <v>治疗费</v>
      </c>
    </row>
    <row r="80" spans="1:5">
      <c r="A80" s="3" t="str">
        <f>"分根术"</f>
        <v>分根术</v>
      </c>
      <c r="B80" s="4">
        <v>76</v>
      </c>
      <c r="C80" s="3" t="str">
        <f>"每牙"</f>
        <v>每牙</v>
      </c>
      <c r="D80" s="3" t="str">
        <f t="shared" si="30"/>
        <v>每牙</v>
      </c>
      <c r="E80" s="3" t="str">
        <f>"治疗费"</f>
        <v>治疗费</v>
      </c>
    </row>
    <row r="81" spans="1:5">
      <c r="A81" s="3" t="str">
        <f>"临时冠"</f>
        <v>临时冠</v>
      </c>
      <c r="B81" s="4">
        <v>100</v>
      </c>
      <c r="C81" s="3" t="str">
        <f>"每牙"</f>
        <v>每牙</v>
      </c>
      <c r="D81" s="3" t="str">
        <f t="shared" si="30"/>
        <v>每牙</v>
      </c>
      <c r="E81" s="3" t="str">
        <f>"治疗费(含材料费)"</f>
        <v>治疗费(含材料费)</v>
      </c>
    </row>
    <row r="82" spans="1:5">
      <c r="A82" s="7" t="str">
        <f>"X线摄影成像"</f>
        <v>X线摄影成像</v>
      </c>
      <c r="B82" s="8">
        <v>40</v>
      </c>
      <c r="C82" s="9" t="str">
        <f>"项"</f>
        <v>项</v>
      </c>
      <c r="D82" s="9" t="str">
        <f>"部位"</f>
        <v>部位</v>
      </c>
      <c r="E82" s="9" t="str">
        <f>"放射费"</f>
        <v>放射费</v>
      </c>
    </row>
    <row r="83" spans="1:5">
      <c r="A83" s="7" t="str">
        <f>"干式激光胶片8*10"</f>
        <v>干式激光胶片8*10</v>
      </c>
      <c r="B83" s="8">
        <v>3.6</v>
      </c>
      <c r="C83" s="9" t="str">
        <f>"8*10"</f>
        <v>8*10</v>
      </c>
      <c r="D83" s="9" t="str">
        <f>"张"</f>
        <v>张</v>
      </c>
      <c r="E83" s="9" t="str">
        <f>"材料费"</f>
        <v>材料费</v>
      </c>
    </row>
    <row r="84" spans="1:5">
      <c r="A84" s="7" t="str">
        <f>"干式激光胶片"</f>
        <v>干式激光胶片</v>
      </c>
      <c r="B84" s="8">
        <v>4.89</v>
      </c>
      <c r="C84" s="9" t="str">
        <f>"11×14英寸"</f>
        <v>11×14英寸</v>
      </c>
      <c r="D84" s="9" t="str">
        <f>"张"</f>
        <v>张</v>
      </c>
      <c r="E84" s="9" t="str">
        <f>"材料费"</f>
        <v>材料费</v>
      </c>
    </row>
    <row r="85" spans="1:5">
      <c r="A85" s="10" t="str">
        <f>"心率变异性分析检查费"</f>
        <v>心率变异性分析检查费</v>
      </c>
      <c r="B85" s="11">
        <v>96</v>
      </c>
      <c r="C85" s="12" t="str">
        <f>"次"</f>
        <v>次</v>
      </c>
      <c r="D85" s="12" t="str">
        <f>"次"</f>
        <v>次</v>
      </c>
      <c r="E85" s="12" t="str">
        <f>"检查费"</f>
        <v>检查费</v>
      </c>
    </row>
    <row r="86" spans="1:5">
      <c r="A86" s="10" t="str">
        <f>"体检费100"</f>
        <v>体检费100</v>
      </c>
      <c r="B86" s="11">
        <v>100</v>
      </c>
      <c r="C86" s="12" t="str">
        <f>"次"</f>
        <v>次</v>
      </c>
      <c r="D86" s="12" t="str">
        <f>"次"</f>
        <v>次</v>
      </c>
      <c r="E86" s="12" t="str">
        <f>"体检费"</f>
        <v>体检费</v>
      </c>
    </row>
    <row r="87" spans="1:5">
      <c r="A87" s="3" t="str">
        <f>"临床量表评估（自评）"</f>
        <v>临床量表评估（自评）</v>
      </c>
      <c r="B87" s="4">
        <v>16</v>
      </c>
      <c r="C87" s="3" t="str">
        <f>"次"</f>
        <v>次</v>
      </c>
      <c r="D87" s="3" t="str">
        <f>"次"</f>
        <v>次</v>
      </c>
      <c r="E87" s="3" t="str">
        <f>"检查费"</f>
        <v>检查费</v>
      </c>
    </row>
    <row r="88" spans="1:5">
      <c r="A88" s="3" t="str">
        <f>"临床量表评估（他评）"</f>
        <v>临床量表评估（他评）</v>
      </c>
      <c r="B88" s="4">
        <v>32</v>
      </c>
      <c r="C88" s="3" t="str">
        <f>"项"</f>
        <v>项</v>
      </c>
      <c r="D88" s="3" t="str">
        <f>"次 . 日"</f>
        <v>次 . 日</v>
      </c>
      <c r="E88" s="3" t="str">
        <f>"检查费"</f>
        <v>检查费</v>
      </c>
    </row>
    <row r="89" spans="1:5">
      <c r="A89" s="3" t="str">
        <f>"临床量表评估（他评）-乙类评估（加收）"</f>
        <v>临床量表评估（他评）-乙类评估（加收）</v>
      </c>
      <c r="B89" s="4">
        <v>10</v>
      </c>
      <c r="C89" s="3" t="str">
        <f>"项"</f>
        <v>项</v>
      </c>
      <c r="D89" s="3" t="str">
        <f>"次 . 日"</f>
        <v>次 . 日</v>
      </c>
      <c r="E89" s="3" t="str">
        <f>"检查费"</f>
        <v>检查费</v>
      </c>
    </row>
    <row r="90" spans="1:5">
      <c r="A90" s="3" t="str">
        <f>"彩色多普勒超声检查（常规）-妇科"</f>
        <v>彩色多普勒超声检查（常规）-妇科</v>
      </c>
      <c r="B90" s="4">
        <v>72</v>
      </c>
      <c r="C90" s="3">
        <v>1</v>
      </c>
      <c r="D90" s="3" t="str">
        <f t="shared" ref="D90:D93" si="33">"部位"</f>
        <v>部位</v>
      </c>
      <c r="E90" s="3" t="str">
        <f t="shared" ref="E90:E94" si="34">"彩超费"</f>
        <v>彩超费</v>
      </c>
    </row>
    <row r="91" spans="1:5">
      <c r="A91" s="3" t="str">
        <f>"彩色多普勒超声检查（常规）-双侧乳腺及引流区淋巴结"</f>
        <v>彩色多普勒超声检查（常规）-双侧乳腺及引流区淋巴结</v>
      </c>
      <c r="B91" s="4">
        <v>72</v>
      </c>
      <c r="C91" s="3">
        <v>1</v>
      </c>
      <c r="D91" s="3" t="str">
        <f t="shared" si="33"/>
        <v>部位</v>
      </c>
      <c r="E91" s="3" t="str">
        <f t="shared" si="34"/>
        <v>彩超费</v>
      </c>
    </row>
    <row r="92" spans="1:5">
      <c r="A92" s="3" t="str">
        <f>"彩色多普勒超声检查（常规）-腔内检查（加收）"</f>
        <v>彩色多普勒超声检查（常规）-腔内检查（加收）</v>
      </c>
      <c r="B92" s="4">
        <v>20</v>
      </c>
      <c r="C92" s="3" t="str">
        <f>"部位"</f>
        <v>部位</v>
      </c>
      <c r="D92" s="3" t="str">
        <f t="shared" si="33"/>
        <v>部位</v>
      </c>
      <c r="E92" s="3" t="str">
        <f t="shared" si="34"/>
        <v>彩超费</v>
      </c>
    </row>
    <row r="93" spans="1:5">
      <c r="A93" s="3" t="str">
        <f>"彩色多普勒超声检查（常规）-排卵监测（减收）"</f>
        <v>彩色多普勒超声检查（常规）-排卵监测（减收）</v>
      </c>
      <c r="B93" s="4">
        <v>50</v>
      </c>
      <c r="C93" s="3" t="str">
        <f>"部位"</f>
        <v>部位</v>
      </c>
      <c r="D93" s="3" t="str">
        <f t="shared" si="33"/>
        <v>部位</v>
      </c>
      <c r="E93" s="3" t="str">
        <f t="shared" si="34"/>
        <v>彩超费</v>
      </c>
    </row>
    <row r="94" spans="1:5">
      <c r="A94" s="3" t="str">
        <f>"彩色多普勒超声检查（胎儿）"</f>
        <v>彩色多普勒超声检查（胎儿）</v>
      </c>
      <c r="B94" s="4">
        <v>119</v>
      </c>
      <c r="C94" s="3" t="str">
        <f>"胎·次"</f>
        <v>胎·次</v>
      </c>
      <c r="D94" s="3" t="str">
        <f>"次"</f>
        <v>次</v>
      </c>
      <c r="E94" s="3" t="str">
        <f t="shared" si="34"/>
        <v>彩超费</v>
      </c>
    </row>
    <row r="95" spans="1:5">
      <c r="A95" s="3" t="str">
        <f>"耳声发射检查费"</f>
        <v>耳声发射检查费</v>
      </c>
      <c r="B95" s="4">
        <v>65</v>
      </c>
      <c r="C95" s="3">
        <v>1</v>
      </c>
      <c r="D95" s="3" t="str">
        <f>"单侧"</f>
        <v>单侧</v>
      </c>
      <c r="E95" s="3" t="str">
        <f>"检查费"</f>
        <v>检查费</v>
      </c>
    </row>
    <row r="96" spans="1:5">
      <c r="A96" s="3" t="str">
        <f>"常规心电图检查费"</f>
        <v>常规心电图检查费</v>
      </c>
      <c r="B96" s="4">
        <v>36</v>
      </c>
      <c r="C96" s="3"/>
      <c r="D96" s="3" t="str">
        <f>"次"</f>
        <v>次</v>
      </c>
      <c r="E96" s="3" t="str">
        <f>"心电图"</f>
        <v>心电图</v>
      </c>
    </row>
    <row r="97" spans="1:5">
      <c r="A97" s="3" t="str">
        <f>"骨密度测定（超声）"</f>
        <v>骨密度测定（超声）</v>
      </c>
      <c r="B97" s="4">
        <v>40</v>
      </c>
      <c r="C97" s="3"/>
      <c r="D97" s="3" t="str">
        <f>"次"</f>
        <v>次</v>
      </c>
      <c r="E97" s="3" t="str">
        <f>"检查费"</f>
        <v>检查费</v>
      </c>
    </row>
    <row r="98" spans="1:5">
      <c r="A98" s="3" t="str">
        <f>"产前常规检查"</f>
        <v>产前常规检查</v>
      </c>
      <c r="B98" s="4">
        <v>17</v>
      </c>
      <c r="C98" s="3" t="str">
        <f t="shared" ref="C98:C100" si="35">"次"</f>
        <v>次</v>
      </c>
      <c r="D98" s="3" t="str">
        <f>"次"</f>
        <v>次</v>
      </c>
      <c r="E98" s="3" t="str">
        <f>"检查费"</f>
        <v>检查费</v>
      </c>
    </row>
    <row r="99" spans="1:5">
      <c r="A99" s="3" t="str">
        <f>"驾驶员体检"</f>
        <v>驾驶员体检</v>
      </c>
      <c r="B99" s="4">
        <v>8</v>
      </c>
      <c r="C99" s="3" t="str">
        <f t="shared" si="35"/>
        <v>次</v>
      </c>
      <c r="D99" s="3" t="str">
        <f>"次"</f>
        <v>次</v>
      </c>
      <c r="E99" s="3" t="str">
        <f>"体检费"</f>
        <v>体检费</v>
      </c>
    </row>
    <row r="100" spans="1:5">
      <c r="A100" s="3" t="str">
        <f>"氧气吸入"</f>
        <v>氧气吸入</v>
      </c>
      <c r="B100" s="4">
        <v>4</v>
      </c>
      <c r="C100" s="3" t="str">
        <f t="shared" si="35"/>
        <v>次</v>
      </c>
      <c r="D100" s="3" t="str">
        <f>"小时"</f>
        <v>小时</v>
      </c>
      <c r="E100" s="3" t="str">
        <f>"输氧费"</f>
        <v>输氧费</v>
      </c>
    </row>
    <row r="101" spans="1:5">
      <c r="A101" s="3" t="str">
        <f>"鼻氧管"</f>
        <v>鼻氧管</v>
      </c>
      <c r="B101" s="4">
        <v>2.8</v>
      </c>
      <c r="C101" s="3" t="str">
        <f>"根"</f>
        <v>根</v>
      </c>
      <c r="D101" s="3" t="str">
        <f>"根"</f>
        <v>根</v>
      </c>
      <c r="E101" s="3" t="str">
        <f>"材料费"</f>
        <v>材料费</v>
      </c>
    </row>
    <row r="102" spans="1:5">
      <c r="A102" s="3" t="str">
        <f>"一次性使用采血器"</f>
        <v>一次性使用采血器</v>
      </c>
      <c r="B102" s="4">
        <v>2.25</v>
      </c>
      <c r="C102" s="3" t="str">
        <f>"1.8MM*0.81MM 21G"</f>
        <v>1.8MM*0.81MM 21G</v>
      </c>
      <c r="D102" s="3" t="str">
        <f>"支"</f>
        <v>支</v>
      </c>
      <c r="E102" s="3" t="str">
        <f>"材料费"</f>
        <v>材料费</v>
      </c>
    </row>
    <row r="103" spans="1:5">
      <c r="A103" s="3" t="str">
        <f>"一次性使用静脉采血针"</f>
        <v>一次性使用静脉采血针</v>
      </c>
      <c r="B103" s="4" t="str">
        <f>"0.299"</f>
        <v>0.299</v>
      </c>
      <c r="C103" s="3" t="str">
        <f>"0.7*25TWLB"</f>
        <v>0.7*25TWLB</v>
      </c>
      <c r="D103" s="3" t="str">
        <f>"支"</f>
        <v>支</v>
      </c>
      <c r="E103" s="3" t="str">
        <f>"材料费"</f>
        <v>材料费</v>
      </c>
    </row>
    <row r="104" spans="1:5">
      <c r="A104" s="3" t="str">
        <f>"一次性使用人体末梢血样采集容器"</f>
        <v>一次性使用人体末梢血样采集容器</v>
      </c>
      <c r="B104" s="4" t="str">
        <f>"0.95"</f>
        <v>0.95</v>
      </c>
      <c r="C104" s="3" t="str">
        <f>"DTA.K2 非无菌普通型"</f>
        <v>DTA.K2 非无菌普通型</v>
      </c>
      <c r="D104" s="3" t="str">
        <f>"个"</f>
        <v>个</v>
      </c>
      <c r="E104" s="3" t="str">
        <f>"材料费"</f>
        <v>材料费</v>
      </c>
    </row>
    <row r="105" spans="1:5">
      <c r="A105" s="3" t="str">
        <f>"家庭巡诊"</f>
        <v>家庭巡诊</v>
      </c>
      <c r="B105" s="4">
        <v>2</v>
      </c>
      <c r="C105" s="3" t="str">
        <f t="shared" ref="C105:C108" si="36">"次"</f>
        <v>次</v>
      </c>
      <c r="D105" s="3" t="str">
        <f t="shared" ref="D105:D109" si="37">"次"</f>
        <v>次</v>
      </c>
      <c r="E105" s="3" t="str">
        <f t="shared" ref="E105:E108" si="38">"服务收入"</f>
        <v>服务收入</v>
      </c>
    </row>
    <row r="106" spans="1:5">
      <c r="A106" s="3" t="str">
        <f>"出诊费"</f>
        <v>出诊费</v>
      </c>
      <c r="B106" s="4">
        <v>40</v>
      </c>
      <c r="C106" s="3" t="str">
        <f t="shared" si="36"/>
        <v>次</v>
      </c>
      <c r="D106" s="3" t="str">
        <f t="shared" si="37"/>
        <v>次</v>
      </c>
      <c r="E106" s="3" t="str">
        <f t="shared" si="38"/>
        <v>服务收入</v>
      </c>
    </row>
    <row r="107" spans="1:5">
      <c r="A107" s="3" t="str">
        <f>"出诊费（副高以上职称）"</f>
        <v>出诊费（副高以上职称）</v>
      </c>
      <c r="B107" s="4">
        <v>55</v>
      </c>
      <c r="C107" s="3" t="str">
        <f t="shared" si="36"/>
        <v>次</v>
      </c>
      <c r="D107" s="3" t="str">
        <f t="shared" si="37"/>
        <v>次</v>
      </c>
      <c r="E107" s="3" t="str">
        <f t="shared" si="38"/>
        <v>服务收入</v>
      </c>
    </row>
    <row r="108" spans="1:5">
      <c r="A108" s="3" t="str">
        <f>"疾病健康教育"</f>
        <v>疾病健康教育</v>
      </c>
      <c r="B108" s="4">
        <v>2</v>
      </c>
      <c r="C108" s="3" t="str">
        <f t="shared" si="36"/>
        <v>次</v>
      </c>
      <c r="D108" s="3" t="str">
        <f t="shared" si="37"/>
        <v>次</v>
      </c>
      <c r="E108" s="3" t="str">
        <f t="shared" si="38"/>
        <v>服务收入</v>
      </c>
    </row>
    <row r="109" spans="1:5">
      <c r="A109" s="3" t="str">
        <f>"一般诊疗费"</f>
        <v>一般诊疗费</v>
      </c>
      <c r="B109" s="4">
        <v>10</v>
      </c>
      <c r="C109" s="3">
        <v>1</v>
      </c>
      <c r="D109" s="3" t="str">
        <f t="shared" si="37"/>
        <v>次</v>
      </c>
      <c r="E109" s="3" t="str">
        <f>"一般诊疗费"</f>
        <v>一般诊疗费</v>
      </c>
    </row>
    <row r="110" spans="1:5">
      <c r="A110" s="3" t="str">
        <f>"细菌性阴道炎检查（乙酰氨基葡萄糖）"</f>
        <v>细菌性阴道炎检查（乙酰氨基葡萄糖）</v>
      </c>
      <c r="B110" s="4">
        <v>11</v>
      </c>
      <c r="C110" s="3" t="str">
        <f>"项"</f>
        <v>项</v>
      </c>
      <c r="D110" s="3" t="str">
        <f>"项"</f>
        <v>项</v>
      </c>
      <c r="E110" s="3" t="str">
        <f>"检验费"</f>
        <v>检验费</v>
      </c>
    </row>
    <row r="111" spans="1:5">
      <c r="A111" s="3" t="str">
        <f>"腺苷脱氨酶测定"</f>
        <v>腺苷脱氨酶测定</v>
      </c>
      <c r="B111" s="4">
        <v>30</v>
      </c>
      <c r="C111" s="3" t="str">
        <f>"项"</f>
        <v>项</v>
      </c>
      <c r="D111" s="3" t="str">
        <f>"项"</f>
        <v>项</v>
      </c>
      <c r="E111" s="3" t="str">
        <f>"检验费"</f>
        <v>检验费</v>
      </c>
    </row>
    <row r="112" spans="1:5">
      <c r="A112" s="3" t="str">
        <f>"抗心磷脂抗体测定（ACA）"</f>
        <v>抗心磷脂抗体测定（ACA）</v>
      </c>
      <c r="B112" s="4">
        <v>70</v>
      </c>
      <c r="C112" s="3" t="str">
        <f>"次"</f>
        <v>次</v>
      </c>
      <c r="D112" s="3" t="str">
        <f>"次"</f>
        <v>次</v>
      </c>
      <c r="E112" s="3" t="str">
        <f>"检验费"</f>
        <v>检验费</v>
      </c>
    </row>
    <row r="113" spans="1:5">
      <c r="A113" s="3" t="str">
        <f>"抗子宫内膜抗体测定(EMAb)"</f>
        <v>抗子宫内膜抗体测定(EMAb)</v>
      </c>
      <c r="B113" s="4">
        <v>15</v>
      </c>
      <c r="C113" s="3" t="str">
        <f>"-"</f>
        <v>-</v>
      </c>
      <c r="D113" s="3" t="str">
        <f>"项"</f>
        <v>项</v>
      </c>
      <c r="E113" s="3" t="str">
        <f>"检验费"</f>
        <v>检验费</v>
      </c>
    </row>
    <row r="114" spans="1:5">
      <c r="A114" s="3" t="str">
        <f>"抗精子抗体测定"</f>
        <v>抗精子抗体测定</v>
      </c>
      <c r="B114" s="4">
        <v>20</v>
      </c>
      <c r="C114" s="3" t="str">
        <f>"-"</f>
        <v>-</v>
      </c>
      <c r="D114" s="3" t="str">
        <f>"项"</f>
        <v>项</v>
      </c>
      <c r="E114" s="3" t="str">
        <f>"检验费"</f>
        <v>检验费</v>
      </c>
    </row>
    <row r="115" spans="1:5">
      <c r="A115" s="3" t="str">
        <f>"EB病毒抗体测定IgM（各种免疫学方法）"</f>
        <v>EB病毒抗体测定IgM（各种免疫学方法）</v>
      </c>
      <c r="B115" s="4">
        <v>20</v>
      </c>
      <c r="C115" s="3" t="str">
        <f>"项"</f>
        <v>项</v>
      </c>
      <c r="D115" s="3" t="str">
        <f>"项"</f>
        <v>项</v>
      </c>
      <c r="E115" s="3" t="str">
        <f>"检验费"</f>
        <v>检验费</v>
      </c>
    </row>
    <row r="116" spans="1:5">
      <c r="A116" s="3" t="str">
        <f>"人乳头瘤病毒(HPV)DNA测定"</f>
        <v>人乳头瘤病毒(HPV)DNA测定</v>
      </c>
      <c r="B116" s="4">
        <v>15</v>
      </c>
      <c r="C116" s="3" t="str">
        <f>"次"</f>
        <v>次</v>
      </c>
      <c r="D116" s="3" t="str">
        <f>"次"</f>
        <v>次</v>
      </c>
      <c r="E116" s="3" t="str">
        <f>"检验费"</f>
        <v>检验费</v>
      </c>
    </row>
    <row r="117" spans="1:5">
      <c r="A117" s="3" t="str">
        <f>"唐氏综合症筛查"</f>
        <v>唐氏综合症筛查</v>
      </c>
      <c r="B117" s="4" t="str">
        <f>"0"</f>
        <v>0</v>
      </c>
      <c r="C117" s="3" t="str">
        <f>"项"</f>
        <v>项</v>
      </c>
      <c r="D117" s="3" t="str">
        <f>"项"</f>
        <v>项</v>
      </c>
      <c r="E117" s="3" t="str">
        <f>"检验费"</f>
        <v>检验费</v>
      </c>
    </row>
    <row r="118" spans="1:5">
      <c r="A118" s="3" t="str">
        <f>"唐氏综合症筛查及唐氏综合症风险率计算"</f>
        <v>唐氏综合症筛查及唐氏综合症风险率计算</v>
      </c>
      <c r="B118" s="4">
        <v>110</v>
      </c>
      <c r="C118" s="3" t="str">
        <f>"次"</f>
        <v>次</v>
      </c>
      <c r="D118" s="3" t="str">
        <f>"次"</f>
        <v>次</v>
      </c>
      <c r="E118" s="3" t="str">
        <f>"检验费"</f>
        <v>检验费</v>
      </c>
    </row>
    <row r="119" spans="1:5">
      <c r="A119" s="3" t="str">
        <f>"ABO红细胞定型"</f>
        <v>ABO红细胞定型</v>
      </c>
      <c r="B119" s="4">
        <v>5</v>
      </c>
      <c r="C119" s="3" t="str">
        <f>"次"</f>
        <v>次</v>
      </c>
      <c r="D119" s="3" t="str">
        <f>"次"</f>
        <v>次</v>
      </c>
      <c r="E119" s="3" t="str">
        <f>"检验费"</f>
        <v>检验费</v>
      </c>
    </row>
    <row r="120" spans="1:5">
      <c r="A120" s="3" t="str">
        <f>"脱落细胞学检查与诊断"</f>
        <v>脱落细胞学检查与诊断</v>
      </c>
      <c r="B120" s="4">
        <v>39</v>
      </c>
      <c r="C120" s="3" t="str">
        <f>"例"</f>
        <v>例</v>
      </c>
      <c r="D120" s="3" t="str">
        <f>"例"</f>
        <v>例</v>
      </c>
      <c r="E120" s="3" t="str">
        <f>"病理检查"</f>
        <v>病理检查</v>
      </c>
    </row>
    <row r="121" spans="1:5">
      <c r="A121" s="3" t="str">
        <f>"液基薄层细胞制片术(TCT)"</f>
        <v>液基薄层细胞制片术(TCT)</v>
      </c>
      <c r="B121" s="4">
        <v>155</v>
      </c>
      <c r="C121" s="3" t="str">
        <f>"-"</f>
        <v>-</v>
      </c>
      <c r="D121" s="3" t="str">
        <f>"次"</f>
        <v>次</v>
      </c>
      <c r="E121" s="3" t="str">
        <f>"病理检查"</f>
        <v>病理检查</v>
      </c>
    </row>
    <row r="122" spans="1:5">
      <c r="A122" s="3" t="str">
        <f>"普通视力检查"</f>
        <v>普通视力检查</v>
      </c>
      <c r="B122" s="4">
        <v>3.9</v>
      </c>
      <c r="C122" s="3" t="str">
        <f t="shared" ref="C120:C125" si="39">"次"</f>
        <v>次</v>
      </c>
      <c r="D122" s="3" t="str">
        <f>"次"</f>
        <v>次</v>
      </c>
      <c r="E122" s="3" t="str">
        <f t="shared" ref="E122:E125" si="40">"检查费"</f>
        <v>检查费</v>
      </c>
    </row>
    <row r="123" spans="1:5">
      <c r="A123" s="3" t="str">
        <f>"斜视度测定"</f>
        <v>斜视度测定</v>
      </c>
      <c r="B123" s="4">
        <v>18</v>
      </c>
      <c r="C123" s="3" t="str">
        <f t="shared" si="39"/>
        <v>次</v>
      </c>
      <c r="D123" s="3" t="str">
        <f>"次"</f>
        <v>次</v>
      </c>
      <c r="E123" s="3" t="str">
        <f t="shared" si="40"/>
        <v>检查费</v>
      </c>
    </row>
    <row r="124" spans="1:5">
      <c r="A124" s="3" t="str">
        <f>"双眼视觉检查"</f>
        <v>双眼视觉检查</v>
      </c>
      <c r="B124" s="4">
        <v>13</v>
      </c>
      <c r="C124" s="3" t="str">
        <f t="shared" si="39"/>
        <v>次</v>
      </c>
      <c r="D124" s="3" t="str">
        <f>"次(双眼)"</f>
        <v>次(双眼)</v>
      </c>
      <c r="E124" s="3" t="str">
        <f t="shared" si="40"/>
        <v>检查费</v>
      </c>
    </row>
    <row r="125" spans="1:5">
      <c r="A125" s="3" t="str">
        <f>"眼底检查（视网膜镜）"</f>
        <v>眼底检查（视网膜镜）</v>
      </c>
      <c r="B125" s="4">
        <v>13</v>
      </c>
      <c r="C125" s="3" t="str">
        <f t="shared" si="39"/>
        <v>次</v>
      </c>
      <c r="D125" s="3" t="str">
        <f>"次(双眼)"</f>
        <v>次(双眼)</v>
      </c>
      <c r="E125" s="3" t="str">
        <f t="shared" si="40"/>
        <v>检查费</v>
      </c>
    </row>
    <row r="126" spans="1:5">
      <c r="A126" s="3" t="str">
        <f>"荧光检查"</f>
        <v>荧光检查</v>
      </c>
      <c r="B126" s="4">
        <v>13</v>
      </c>
      <c r="C126" s="3" t="str">
        <f>"项"</f>
        <v>项</v>
      </c>
      <c r="D126" s="3" t="str">
        <f>"每个部位"</f>
        <v>每个部位</v>
      </c>
      <c r="E126" s="3" t="str">
        <f>"治疗费"</f>
        <v>治疗费</v>
      </c>
    </row>
    <row r="127" spans="1:5">
      <c r="A127" s="3" t="str">
        <f>"胎心监测"</f>
        <v>胎心监测</v>
      </c>
      <c r="B127" s="4">
        <v>26</v>
      </c>
      <c r="C127" s="3" t="str">
        <f>"次"</f>
        <v>次</v>
      </c>
      <c r="D127" s="3" t="str">
        <f>"次"</f>
        <v>次</v>
      </c>
      <c r="E127" s="3" t="str">
        <f t="shared" ref="E127:E130" si="41">"检查费"</f>
        <v>检查费</v>
      </c>
    </row>
    <row r="128" spans="1:5">
      <c r="A128" s="3" t="str">
        <f>"新生儿经皮胆红素测定（头部）"</f>
        <v>新生儿经皮胆红素测定（头部）</v>
      </c>
      <c r="B128" s="4">
        <v>6.5</v>
      </c>
      <c r="C128" s="3" t="str">
        <f>"每次"</f>
        <v>每次</v>
      </c>
      <c r="D128" s="3" t="str">
        <f>"每次"</f>
        <v>每次</v>
      </c>
      <c r="E128" s="3" t="str">
        <f t="shared" si="41"/>
        <v>检查费</v>
      </c>
    </row>
    <row r="129" spans="1:5">
      <c r="A129" s="3" t="str">
        <f>"新生儿经皮胆红素测定（胸部）"</f>
        <v>新生儿经皮胆红素测定（胸部）</v>
      </c>
      <c r="B129" s="4">
        <v>6.5</v>
      </c>
      <c r="C129" s="3" t="str">
        <f>"每个部位"</f>
        <v>每个部位</v>
      </c>
      <c r="D129" s="3" t="str">
        <f>"每个部位"</f>
        <v>每个部位</v>
      </c>
      <c r="E129" s="3" t="str">
        <f t="shared" si="41"/>
        <v>检查费</v>
      </c>
    </row>
    <row r="130" spans="1:5">
      <c r="A130" s="3" t="str">
        <f>"新生儿经皮胆红素测定（腿部）"</f>
        <v>新生儿经皮胆红素测定（腿部）</v>
      </c>
      <c r="B130" s="4">
        <v>6.5</v>
      </c>
      <c r="C130" s="3" t="str">
        <f>"每个 部位"</f>
        <v>每个 部位</v>
      </c>
      <c r="D130" s="3" t="str">
        <f>"每个 部位"</f>
        <v>每个 部位</v>
      </c>
      <c r="E130" s="3" t="str">
        <f t="shared" si="41"/>
        <v>检查费</v>
      </c>
    </row>
    <row r="131" spans="1:5">
      <c r="A131" s="3" t="str">
        <f>"中医体质辨识"</f>
        <v>中医体质辨识</v>
      </c>
      <c r="B131" s="4">
        <v>2</v>
      </c>
      <c r="C131" s="3" t="str">
        <f>"项"</f>
        <v>项</v>
      </c>
      <c r="D131" s="3" t="str">
        <f>"项"</f>
        <v>项</v>
      </c>
      <c r="E131" s="3" t="str">
        <f>"治疗费"</f>
        <v>治疗费</v>
      </c>
    </row>
    <row r="132" spans="1:5">
      <c r="A132" s="3" t="str">
        <f>"产前检查（免费）"</f>
        <v>产前检查（免费）</v>
      </c>
      <c r="B132" s="4" t="str">
        <f>"0"</f>
        <v>0</v>
      </c>
      <c r="C132" s="3" t="str">
        <f>"项"</f>
        <v>项</v>
      </c>
      <c r="D132" s="3" t="str">
        <f>"项"</f>
        <v>项</v>
      </c>
      <c r="E132" s="3" t="str">
        <f>"检查费"</f>
        <v>检查费</v>
      </c>
    </row>
    <row r="133" spans="1:5">
      <c r="A133" s="3" t="str">
        <f>"家庭医生签约基本服务包"</f>
        <v>家庭医生签约基本服务包</v>
      </c>
      <c r="B133" s="4">
        <v>15</v>
      </c>
      <c r="C133" s="3" t="str">
        <f>"项"</f>
        <v>项</v>
      </c>
      <c r="D133" s="3" t="str">
        <f>"项"</f>
        <v>项</v>
      </c>
      <c r="E133" s="3" t="str">
        <f>"签约服务费"</f>
        <v>签约服务费</v>
      </c>
    </row>
    <row r="134" spans="1:5">
      <c r="A134" s="3" t="str">
        <f>"妇科特殊治疗(免费)"</f>
        <v>妇科特殊治疗(免费)</v>
      </c>
      <c r="B134" s="4" t="str">
        <f>"0"</f>
        <v>0</v>
      </c>
      <c r="C134" s="3" t="str">
        <f>"次"</f>
        <v>次</v>
      </c>
      <c r="D134" s="3" t="str">
        <f>"次"</f>
        <v>次</v>
      </c>
      <c r="E134" s="3" t="str">
        <f>"检验费"</f>
        <v>检验费</v>
      </c>
    </row>
    <row r="135" spans="1:5">
      <c r="A135" s="3" t="str">
        <f>"荧光检查（免费）"</f>
        <v>荧光检查（免费）</v>
      </c>
      <c r="B135" s="4" t="str">
        <f>"0"</f>
        <v>0</v>
      </c>
      <c r="C135" s="3" t="str">
        <f>"次"</f>
        <v>次</v>
      </c>
      <c r="D135" s="3" t="str">
        <f>"每个部位"</f>
        <v>每个部位</v>
      </c>
      <c r="E135" s="3" t="str">
        <f>"治疗费"</f>
        <v>治疗费</v>
      </c>
    </row>
    <row r="136" spans="1:5">
      <c r="A136" s="3" t="str">
        <f>"血细胞分析（五分类）（体检签约优惠）"</f>
        <v>血细胞分析（五分类）（体检签约优惠）</v>
      </c>
      <c r="B136" s="4">
        <v>10.8</v>
      </c>
      <c r="C136" s="3" t="str">
        <f>"次"</f>
        <v>次</v>
      </c>
      <c r="D136" s="3" t="str">
        <f>"次"</f>
        <v>次</v>
      </c>
      <c r="E136" s="3" t="str">
        <f>"检验费"</f>
        <v>检验费</v>
      </c>
    </row>
    <row r="137" spans="1:5">
      <c r="A137" s="3" t="str">
        <f>"无创动态血压监测费（签约）"</f>
        <v>无创动态血压监测费（签约）</v>
      </c>
      <c r="B137" s="4">
        <v>115.2</v>
      </c>
      <c r="C137" s="3">
        <v>1</v>
      </c>
      <c r="D137" s="3" t="str">
        <f>"日"</f>
        <v>日</v>
      </c>
      <c r="E137" s="3" t="str">
        <f>"检查费"</f>
        <v>检查费</v>
      </c>
    </row>
    <row r="138" spans="1:5">
      <c r="A138" s="13" t="str">
        <f>"糖化血红蛋白测定（个性签约）"</f>
        <v>糖化血红蛋白测定（个性签约）</v>
      </c>
      <c r="B138" s="14">
        <v>24</v>
      </c>
      <c r="C138" s="13" t="str">
        <f t="shared" ref="C138:C159" si="42">"次"</f>
        <v>次</v>
      </c>
      <c r="D138" s="13" t="str">
        <f t="shared" ref="D138:D140" si="43">"次"</f>
        <v>次</v>
      </c>
      <c r="E138" s="13" t="str">
        <f>"服务收入"</f>
        <v>服务收入</v>
      </c>
    </row>
    <row r="139" spans="1:5">
      <c r="A139" s="3" t="str">
        <f>"中药贴敷"</f>
        <v>中药贴敷</v>
      </c>
      <c r="B139" s="6">
        <v>53</v>
      </c>
      <c r="C139" s="6" t="str">
        <f t="shared" si="42"/>
        <v>次</v>
      </c>
      <c r="D139" s="6" t="str">
        <f t="shared" si="43"/>
        <v>次</v>
      </c>
      <c r="E139" s="6" t="str">
        <f t="shared" ref="E139:E161" si="44">"治疗费"</f>
        <v>治疗费</v>
      </c>
    </row>
    <row r="140" spans="1:5">
      <c r="A140" s="3" t="str">
        <f>"中医刮痧"</f>
        <v>中医刮痧</v>
      </c>
      <c r="B140" s="6">
        <v>79</v>
      </c>
      <c r="C140" s="6" t="str">
        <f t="shared" si="42"/>
        <v>次</v>
      </c>
      <c r="D140" s="6" t="str">
        <f t="shared" si="43"/>
        <v>次</v>
      </c>
      <c r="E140" s="6" t="str">
        <f t="shared" si="44"/>
        <v>治疗费</v>
      </c>
    </row>
    <row r="141" spans="1:5">
      <c r="A141" s="3" t="str">
        <f>"常规针法"</f>
        <v>常规针法</v>
      </c>
      <c r="B141" s="6">
        <v>84</v>
      </c>
      <c r="C141" s="6" t="str">
        <f t="shared" si="42"/>
        <v>次</v>
      </c>
      <c r="D141" s="6" t="str">
        <f>"次 . 日"</f>
        <v>次 . 日</v>
      </c>
      <c r="E141" s="6" t="str">
        <f t="shared" si="44"/>
        <v>治疗费</v>
      </c>
    </row>
    <row r="142" spans="1:5">
      <c r="A142" s="3" t="str">
        <f>"穴位埋入"</f>
        <v>穴位埋入</v>
      </c>
      <c r="B142" s="6">
        <v>25</v>
      </c>
      <c r="C142" s="6" t="str">
        <f t="shared" si="42"/>
        <v>次</v>
      </c>
      <c r="D142" s="6" t="str">
        <f>"每个 穴位"</f>
        <v>每个 穴位</v>
      </c>
      <c r="E142" s="6" t="str">
        <f t="shared" si="44"/>
        <v>治疗费</v>
      </c>
    </row>
    <row r="143" spans="1:5">
      <c r="A143" s="3" t="str">
        <f>"耳穴疗法"</f>
        <v>耳穴疗法</v>
      </c>
      <c r="B143" s="6">
        <v>24</v>
      </c>
      <c r="C143" s="6" t="str">
        <f t="shared" si="42"/>
        <v>次</v>
      </c>
      <c r="D143" s="6" t="str">
        <f>"单侧"</f>
        <v>单侧</v>
      </c>
      <c r="E143" s="6" t="str">
        <f t="shared" si="44"/>
        <v>治疗费</v>
      </c>
    </row>
    <row r="144" spans="1:5">
      <c r="A144" s="3" t="str">
        <f>"手法整复术（关节脱位）"</f>
        <v>手法整复术（关节脱位）</v>
      </c>
      <c r="B144" s="6">
        <v>125</v>
      </c>
      <c r="C144" s="6" t="str">
        <f t="shared" si="42"/>
        <v>次</v>
      </c>
      <c r="D144" s="6" t="str">
        <f>"每 关节"</f>
        <v>每 关节</v>
      </c>
      <c r="E144" s="6" t="str">
        <f t="shared" si="44"/>
        <v>治疗费</v>
      </c>
    </row>
    <row r="145" spans="1:5">
      <c r="A145" s="3" t="str">
        <f>"悬空灸"</f>
        <v>悬空灸</v>
      </c>
      <c r="B145" s="6">
        <v>46</v>
      </c>
      <c r="C145" s="6" t="str">
        <f t="shared" si="42"/>
        <v>次</v>
      </c>
      <c r="D145" s="6" t="str">
        <f t="shared" ref="D145:D150" si="45">"次"</f>
        <v>次</v>
      </c>
      <c r="E145" s="6" t="str">
        <f t="shared" si="44"/>
        <v>治疗费</v>
      </c>
    </row>
    <row r="146" spans="1:5">
      <c r="A146" s="3" t="str">
        <f>"中医拔罐"</f>
        <v>中医拔罐</v>
      </c>
      <c r="B146" s="6">
        <v>42</v>
      </c>
      <c r="C146" s="6" t="str">
        <f t="shared" si="42"/>
        <v>次</v>
      </c>
      <c r="D146" s="6" t="str">
        <f t="shared" si="45"/>
        <v>次</v>
      </c>
      <c r="E146" s="6" t="str">
        <f t="shared" si="44"/>
        <v>治疗费</v>
      </c>
    </row>
    <row r="147" spans="1:5">
      <c r="A147" s="3" t="str">
        <f>"中医走罐"</f>
        <v>中医走罐</v>
      </c>
      <c r="B147" s="6">
        <v>30</v>
      </c>
      <c r="C147" s="6" t="str">
        <f t="shared" si="42"/>
        <v>次</v>
      </c>
      <c r="D147" s="6" t="str">
        <f t="shared" si="45"/>
        <v>次</v>
      </c>
      <c r="E147" s="6" t="str">
        <f t="shared" si="44"/>
        <v>治疗费</v>
      </c>
    </row>
    <row r="148" spans="1:5">
      <c r="A148" s="3" t="str">
        <f>"中医闪罐"</f>
        <v>中医闪罐</v>
      </c>
      <c r="B148" s="6">
        <v>63</v>
      </c>
      <c r="C148" s="6" t="str">
        <f t="shared" si="42"/>
        <v>次</v>
      </c>
      <c r="D148" s="6" t="str">
        <f t="shared" si="45"/>
        <v>次</v>
      </c>
      <c r="E148" s="6" t="str">
        <f t="shared" si="44"/>
        <v>治疗费</v>
      </c>
    </row>
    <row r="149" spans="1:5">
      <c r="A149" s="3" t="str">
        <f>"颈部疾病推拿"</f>
        <v>颈部疾病推拿</v>
      </c>
      <c r="B149" s="6">
        <v>54</v>
      </c>
      <c r="C149" s="6" t="str">
        <f t="shared" si="42"/>
        <v>次</v>
      </c>
      <c r="D149" s="6" t="str">
        <f t="shared" si="45"/>
        <v>次</v>
      </c>
      <c r="E149" s="6" t="str">
        <f t="shared" si="44"/>
        <v>治疗费</v>
      </c>
    </row>
    <row r="150" spans="1:5">
      <c r="A150" s="3" t="str">
        <f>"脊柱部位疾病推拿"</f>
        <v>脊柱部位疾病推拿</v>
      </c>
      <c r="B150" s="6">
        <v>42</v>
      </c>
      <c r="C150" s="6" t="str">
        <f t="shared" si="42"/>
        <v>次</v>
      </c>
      <c r="D150" s="6" t="str">
        <f t="shared" si="45"/>
        <v>次</v>
      </c>
      <c r="E150" s="6" t="str">
        <f t="shared" si="44"/>
        <v>治疗费</v>
      </c>
    </row>
    <row r="151" spans="1:5">
      <c r="A151" s="3" t="str">
        <f>"肩部疾病推拿"</f>
        <v>肩部疾病推拿</v>
      </c>
      <c r="B151" s="6">
        <v>42</v>
      </c>
      <c r="C151" s="6" t="str">
        <f t="shared" si="42"/>
        <v>次</v>
      </c>
      <c r="D151" s="6" t="str">
        <f>"单侧"</f>
        <v>单侧</v>
      </c>
      <c r="E151" s="6" t="str">
        <f t="shared" si="44"/>
        <v>治疗费</v>
      </c>
    </row>
    <row r="152" spans="1:5">
      <c r="A152" s="3" t="str">
        <f>"背部疾病推拿"</f>
        <v>背部疾病推拿</v>
      </c>
      <c r="B152" s="6">
        <v>81</v>
      </c>
      <c r="C152" s="6" t="str">
        <f t="shared" si="42"/>
        <v>次</v>
      </c>
      <c r="D152" s="6" t="str">
        <f t="shared" ref="D152:D154" si="46">"次"</f>
        <v>次</v>
      </c>
      <c r="E152" s="6" t="str">
        <f t="shared" si="44"/>
        <v>治疗费</v>
      </c>
    </row>
    <row r="153" spans="1:5">
      <c r="A153" s="3" t="str">
        <f>"腰部疾病推拿"</f>
        <v>腰部疾病推拿</v>
      </c>
      <c r="B153" s="6">
        <v>81</v>
      </c>
      <c r="C153" s="6" t="str">
        <f t="shared" si="42"/>
        <v>次</v>
      </c>
      <c r="D153" s="6" t="str">
        <f t="shared" si="46"/>
        <v>次</v>
      </c>
      <c r="E153" s="6" t="str">
        <f t="shared" si="44"/>
        <v>治疗费</v>
      </c>
    </row>
    <row r="154" spans="1:5">
      <c r="A154" s="3" t="str">
        <f>"髋骶部疾病推拿"</f>
        <v>髋骶部疾病推拿</v>
      </c>
      <c r="B154" s="6">
        <v>81</v>
      </c>
      <c r="C154" s="6" t="str">
        <f t="shared" si="42"/>
        <v>次</v>
      </c>
      <c r="D154" s="6" t="str">
        <f t="shared" si="46"/>
        <v>次</v>
      </c>
      <c r="E154" s="6" t="str">
        <f t="shared" si="44"/>
        <v>治疗费</v>
      </c>
    </row>
    <row r="155" spans="1:5">
      <c r="A155" s="3" t="str">
        <f>"四肢部位疾病推拿"</f>
        <v>四肢部位疾病推拿</v>
      </c>
      <c r="B155" s="6">
        <v>42</v>
      </c>
      <c r="C155" s="6" t="str">
        <f t="shared" si="42"/>
        <v>次</v>
      </c>
      <c r="D155" s="6" t="str">
        <f>"单肢"</f>
        <v>单肢</v>
      </c>
      <c r="E155" s="6" t="str">
        <f t="shared" si="44"/>
        <v>治疗费</v>
      </c>
    </row>
    <row r="156" spans="1:5">
      <c r="A156" s="3" t="str">
        <f>"脏腑疾病推拿"</f>
        <v>脏腑疾病推拿</v>
      </c>
      <c r="B156" s="6">
        <v>49</v>
      </c>
      <c r="C156" s="6" t="str">
        <f t="shared" si="42"/>
        <v>次</v>
      </c>
      <c r="D156" s="6" t="str">
        <f>"次"</f>
        <v>次</v>
      </c>
      <c r="E156" s="6" t="str">
        <f t="shared" si="44"/>
        <v>治疗费</v>
      </c>
    </row>
    <row r="157" spans="1:5">
      <c r="A157" s="3" t="str">
        <f>"针刀（钩活）疗法"</f>
        <v>针刀（钩活）疗法</v>
      </c>
      <c r="B157" s="6">
        <v>90</v>
      </c>
      <c r="C157" s="6" t="str">
        <f t="shared" si="42"/>
        <v>次</v>
      </c>
      <c r="D157" s="6" t="str">
        <f>"部位"</f>
        <v>部位</v>
      </c>
      <c r="E157" s="6" t="str">
        <f t="shared" si="44"/>
        <v>治疗费</v>
      </c>
    </row>
    <row r="158" spans="1:5">
      <c r="A158" s="3" t="str">
        <f>"点穴疗法"</f>
        <v>点穴疗法</v>
      </c>
      <c r="B158" s="6">
        <v>20</v>
      </c>
      <c r="C158" s="6" t="str">
        <f t="shared" si="42"/>
        <v>次</v>
      </c>
      <c r="D158" s="6" t="str">
        <f>"次"</f>
        <v>次</v>
      </c>
      <c r="E158" s="6" t="str">
        <f t="shared" si="44"/>
        <v>治疗费</v>
      </c>
    </row>
    <row r="159" spans="1:5">
      <c r="A159" s="3" t="str">
        <f>"红外线治疗"</f>
        <v>红外线治疗</v>
      </c>
      <c r="B159" s="6">
        <v>5</v>
      </c>
      <c r="C159" s="6" t="str">
        <f t="shared" si="42"/>
        <v>次</v>
      </c>
      <c r="D159" s="6" t="str">
        <f>"每部位"</f>
        <v>每部位</v>
      </c>
      <c r="E159" s="6" t="str">
        <f t="shared" si="44"/>
        <v>治疗费</v>
      </c>
    </row>
    <row r="160" spans="1:5">
      <c r="A160" s="3" t="str">
        <f>"中频脉冲电治疗"</f>
        <v>中频脉冲电治疗</v>
      </c>
      <c r="B160" s="6">
        <v>10</v>
      </c>
      <c r="C160" s="6" t="str">
        <f>"部位"</f>
        <v>部位</v>
      </c>
      <c r="D160" s="6" t="str">
        <f>"每部位"</f>
        <v>每部位</v>
      </c>
      <c r="E160" s="6" t="str">
        <f t="shared" si="44"/>
        <v>治疗费</v>
      </c>
    </row>
    <row r="161" spans="1:5">
      <c r="A161" s="3" t="str">
        <f>"电动牵引"</f>
        <v>电动牵引</v>
      </c>
      <c r="B161" s="6">
        <v>25</v>
      </c>
      <c r="C161" s="6" t="str">
        <f>"项"</f>
        <v>项</v>
      </c>
      <c r="D161" s="6" t="str">
        <f>"项"</f>
        <v>项</v>
      </c>
      <c r="E161" s="6" t="str">
        <f t="shared" si="44"/>
        <v>治疗费</v>
      </c>
    </row>
    <row r="162" spans="1:5">
      <c r="A162" s="15" t="str">
        <f>"阴道分泌物胺测定"</f>
        <v>阴道分泌物胺测定</v>
      </c>
      <c r="B162" s="16">
        <v>20</v>
      </c>
      <c r="C162" s="15" t="str">
        <f>"次"</f>
        <v>次</v>
      </c>
      <c r="D162" s="15" t="str">
        <f>"次"</f>
        <v>次</v>
      </c>
      <c r="E162" s="15" t="str">
        <f>"检验费"</f>
        <v>检验费</v>
      </c>
    </row>
    <row r="163" spans="1:5">
      <c r="A163" s="17" t="str">
        <f>"全血粘度测定"</f>
        <v>全血粘度测定</v>
      </c>
      <c r="B163" s="17">
        <v>15</v>
      </c>
      <c r="C163" s="17" t="str">
        <f>"项"</f>
        <v>项</v>
      </c>
      <c r="D163" s="17" t="str">
        <f>"项"</f>
        <v>项</v>
      </c>
      <c r="E163" s="17" t="str">
        <f>"检验费"</f>
        <v>检验费</v>
      </c>
    </row>
    <row r="164" spans="1:5">
      <c r="A164" s="17" t="str">
        <f>"全血粘度测定（低切）"</f>
        <v>全血粘度测定（低切）</v>
      </c>
      <c r="B164" s="17">
        <v>15</v>
      </c>
      <c r="C164" s="17" t="str">
        <f>"项"</f>
        <v>项</v>
      </c>
      <c r="D164" s="17" t="str">
        <f>"项"</f>
        <v>项</v>
      </c>
      <c r="E164" s="17" t="str">
        <f>"检验费"</f>
        <v>检验费</v>
      </c>
    </row>
    <row r="165" spans="1:5">
      <c r="A165" s="17" t="str">
        <f>"全血粘度测定（中切）"</f>
        <v>全血粘度测定（中切）</v>
      </c>
      <c r="B165" s="17">
        <v>15</v>
      </c>
      <c r="C165" s="17" t="str">
        <f>"项"</f>
        <v>项</v>
      </c>
      <c r="D165" s="17" t="str">
        <f>"项"</f>
        <v>项</v>
      </c>
      <c r="E165" s="17" t="str">
        <f>"检验费"</f>
        <v>检验费</v>
      </c>
    </row>
    <row r="166" spans="1:5">
      <c r="A166" s="17" t="str">
        <f>"全血粘度测定（高切）"</f>
        <v>全血粘度测定（高切）</v>
      </c>
      <c r="B166" s="17">
        <v>15</v>
      </c>
      <c r="C166" s="17" t="str">
        <f>"项"</f>
        <v>项</v>
      </c>
      <c r="D166" s="17" t="str">
        <f>"项"</f>
        <v>项</v>
      </c>
      <c r="E166" s="17" t="str">
        <f>"检验费"</f>
        <v>检验费</v>
      </c>
    </row>
    <row r="167" spans="1:5">
      <c r="A167" s="17" t="str">
        <f>"钠测定"</f>
        <v>钠测定</v>
      </c>
      <c r="B167" s="17">
        <v>4</v>
      </c>
      <c r="C167" s="17" t="str">
        <f>"项"</f>
        <v>项</v>
      </c>
      <c r="D167" s="17" t="str">
        <f>"项"</f>
        <v>项</v>
      </c>
      <c r="E167" s="17" t="str">
        <f>"检验费"</f>
        <v>检验费</v>
      </c>
    </row>
    <row r="168" spans="1:5">
      <c r="A168" s="17" t="str">
        <f>"镁测定"</f>
        <v>镁测定</v>
      </c>
      <c r="B168" s="17">
        <v>3</v>
      </c>
      <c r="C168" s="17" t="str">
        <f>"项"</f>
        <v>项</v>
      </c>
      <c r="D168" s="17" t="str">
        <f>"项"</f>
        <v>项</v>
      </c>
      <c r="E168" s="17" t="str">
        <f>"检验费"</f>
        <v>检验费</v>
      </c>
    </row>
    <row r="169" spans="1:5">
      <c r="A169" s="17" t="str">
        <f>"血清α羟基丁酸脱氢酶测定速率法"</f>
        <v>血清α羟基丁酸脱氢酶测定速率法</v>
      </c>
      <c r="B169" s="17">
        <v>10</v>
      </c>
      <c r="C169" s="17" t="str">
        <f>"项"</f>
        <v>项</v>
      </c>
      <c r="D169" s="17" t="str">
        <f>"项"</f>
        <v>项</v>
      </c>
      <c r="E169" s="17" t="str">
        <f>"检验费"</f>
        <v>检验费</v>
      </c>
    </row>
    <row r="170" spans="1:5">
      <c r="A170" s="17" t="str">
        <f>"血清肌钙蛋白T测定化学发光法"</f>
        <v>血清肌钙蛋白T测定化学发光法</v>
      </c>
      <c r="B170" s="17">
        <v>70</v>
      </c>
      <c r="C170" s="17" t="str">
        <f>"项"</f>
        <v>项</v>
      </c>
      <c r="D170" s="17" t="str">
        <f>"项"</f>
        <v>项</v>
      </c>
      <c r="E170" s="17" t="str">
        <f>"检验费"</f>
        <v>检验费</v>
      </c>
    </row>
    <row r="171" spans="1:5">
      <c r="A171" s="17" t="str">
        <f>"血清肌钙蛋白Ⅰ测定"</f>
        <v>血清肌钙蛋白Ⅰ测定</v>
      </c>
      <c r="B171" s="17">
        <v>80</v>
      </c>
      <c r="C171" s="17" t="str">
        <f>"项"</f>
        <v>项</v>
      </c>
      <c r="D171" s="17" t="str">
        <f>"项"</f>
        <v>项</v>
      </c>
      <c r="E171" s="17" t="str">
        <f>"检验费"</f>
        <v>检验费</v>
      </c>
    </row>
    <row r="172" spans="1:5">
      <c r="A172" s="17" t="str">
        <f>"血清肌红蛋白测定"</f>
        <v>血清肌红蛋白测定</v>
      </c>
      <c r="B172" s="17">
        <v>60</v>
      </c>
      <c r="C172" s="17" t="str">
        <f>"项"</f>
        <v>项</v>
      </c>
      <c r="D172" s="17" t="str">
        <f>"项"</f>
        <v>项</v>
      </c>
      <c r="E172" s="17" t="str">
        <f>"检验费"</f>
        <v>检验费</v>
      </c>
    </row>
    <row r="173" spans="1:5">
      <c r="A173" s="17" t="str">
        <f>"尿肌酐测定"</f>
        <v>尿肌酐测定</v>
      </c>
      <c r="B173" s="17">
        <v>4</v>
      </c>
      <c r="C173" s="17" t="str">
        <f>"次"</f>
        <v>次</v>
      </c>
      <c r="D173" s="17" t="str">
        <f>"每次"</f>
        <v>每次</v>
      </c>
      <c r="E173" s="17" t="str">
        <f>"检验费"</f>
        <v>检验费</v>
      </c>
    </row>
    <row r="174" spans="1:5">
      <c r="A174" s="17" t="str">
        <f>"血清胱抑素(CystatinC)测定"</f>
        <v>血清胱抑素(CystatinC)测定</v>
      </c>
      <c r="B174" s="17">
        <v>15</v>
      </c>
      <c r="C174" s="17" t="str">
        <f>"-"</f>
        <v>-</v>
      </c>
      <c r="D174" s="17" t="str">
        <f>"项"</f>
        <v>项</v>
      </c>
      <c r="E174" s="17" t="str">
        <f>"检验费"</f>
        <v>检验费</v>
      </c>
    </row>
    <row r="175" spans="1:5">
      <c r="A175" s="17" t="str">
        <f>"胃泌素测定各种免疫学方法"</f>
        <v>胃泌素测定各种免疫学方法</v>
      </c>
      <c r="B175" s="17">
        <v>15</v>
      </c>
      <c r="C175" s="17" t="str">
        <f>"项"</f>
        <v>项</v>
      </c>
      <c r="D175" s="17" t="str">
        <f>"项"</f>
        <v>项</v>
      </c>
      <c r="E175" s="17" t="str">
        <f>"检验费"</f>
        <v>检验费</v>
      </c>
    </row>
    <row r="176" spans="1:5">
      <c r="A176" s="17" t="str">
        <f>"血清胃泌素释放肽前体（ProGRP)测定"</f>
        <v>血清胃泌素释放肽前体（ProGRP)测定</v>
      </c>
      <c r="B176" s="17">
        <v>50</v>
      </c>
      <c r="C176" s="17" t="str">
        <f>"血清0.5ml"</f>
        <v>血清0.5ml</v>
      </c>
      <c r="D176" s="17" t="str">
        <f>"项"</f>
        <v>项</v>
      </c>
      <c r="E176" s="17" t="str">
        <f>"检验费"</f>
        <v>检验费</v>
      </c>
    </row>
    <row r="177" spans="1:5">
      <c r="A177" s="17" t="str">
        <f>"腺病毒抗体测定"</f>
        <v>腺病毒抗体测定</v>
      </c>
      <c r="B177" s="17">
        <v>15</v>
      </c>
      <c r="C177" s="17" t="str">
        <f>"项"</f>
        <v>项</v>
      </c>
      <c r="D177" s="17" t="str">
        <f>"项"</f>
        <v>项</v>
      </c>
      <c r="E177" s="17" t="str">
        <f>"检验费"</f>
        <v>检验费</v>
      </c>
    </row>
    <row r="178" spans="1:5">
      <c r="A178" s="17" t="str">
        <f>"人附睾蛋白4测定"</f>
        <v>人附睾蛋白4测定</v>
      </c>
      <c r="B178" s="17">
        <v>125</v>
      </c>
      <c r="C178" s="17">
        <v>1</v>
      </c>
      <c r="D178" s="17" t="str">
        <f>"次"</f>
        <v>次</v>
      </c>
      <c r="E178" s="17" t="str">
        <f>"检验费"</f>
        <v>检验费</v>
      </c>
    </row>
    <row r="179" spans="1:5">
      <c r="A179" s="17" t="str">
        <f>"血液疟原虫检查"</f>
        <v>血液疟原虫检查</v>
      </c>
      <c r="B179" s="17" t="str">
        <f>"0"</f>
        <v>0</v>
      </c>
      <c r="C179" s="17" t="str">
        <f>"项"</f>
        <v>项</v>
      </c>
      <c r="D179" s="17" t="str">
        <f>"项"</f>
        <v>项</v>
      </c>
      <c r="E179" s="17" t="str">
        <f>"检验费"</f>
        <v>检验费</v>
      </c>
    </row>
    <row r="180" spans="1:5">
      <c r="A180" s="17" t="str">
        <f>"尿微量白蛋白测定免疫学方法（签约）"</f>
        <v>尿微量白蛋白测定免疫学方法（签约）</v>
      </c>
      <c r="B180" s="17">
        <v>16</v>
      </c>
      <c r="C180" s="17">
        <v>1</v>
      </c>
      <c r="D180" s="17" t="str">
        <f>"次"</f>
        <v>次</v>
      </c>
      <c r="E180" s="17" t="str">
        <f>"检验费"</f>
        <v>检验费</v>
      </c>
    </row>
    <row r="181" spans="1:5">
      <c r="A181" s="17" t="str">
        <f>"尿肌酐测定（签约）"</f>
        <v>尿肌酐测定（签约）</v>
      </c>
      <c r="B181" s="17">
        <v>3.2</v>
      </c>
      <c r="C181" s="17">
        <v>1</v>
      </c>
      <c r="D181" s="17" t="str">
        <f>"次"</f>
        <v>次</v>
      </c>
      <c r="E181" s="17" t="str">
        <f>"检验费"</f>
        <v>检验费</v>
      </c>
    </row>
    <row r="182" spans="1:5">
      <c r="A182" s="3" t="str">
        <f>"血清维生素测定"</f>
        <v>血清维生素测定</v>
      </c>
      <c r="B182" s="6">
        <v>40</v>
      </c>
      <c r="C182" s="6" t="str">
        <f>"次"</f>
        <v>次</v>
      </c>
      <c r="D182" s="6" t="str">
        <f>"次"</f>
        <v>次</v>
      </c>
      <c r="E182" s="6" t="str">
        <f>"检验费"</f>
        <v>检验费</v>
      </c>
    </row>
    <row r="183" spans="1:5">
      <c r="A183" s="3" t="str">
        <f>"(TRAB)促甲状腺素受体抗体测定"</f>
        <v>(TRAB)促甲状腺素受体抗体测定</v>
      </c>
      <c r="B183" s="6">
        <v>60</v>
      </c>
      <c r="C183" s="6" t="str">
        <f>"项"</f>
        <v>项</v>
      </c>
      <c r="D183" s="6" t="str">
        <f>"项"</f>
        <v>项</v>
      </c>
      <c r="E183" s="6" t="str">
        <f>"检验费"</f>
        <v>检验费</v>
      </c>
    </row>
    <row r="184" spans="1:5">
      <c r="A184" s="3" t="str">
        <f>"免疫球蛋白IgA定量测定（散射比浊法）"</f>
        <v>免疫球蛋白IgA定量测定（散射比浊法）</v>
      </c>
      <c r="B184" s="6">
        <v>20</v>
      </c>
      <c r="C184" s="6" t="str">
        <f t="shared" ref="C184:C186" si="47">"次"</f>
        <v>次</v>
      </c>
      <c r="D184" s="6" t="str">
        <f>"项"</f>
        <v>项</v>
      </c>
      <c r="E184" s="6" t="str">
        <f>"检验费"</f>
        <v>检验费</v>
      </c>
    </row>
    <row r="185" spans="1:5">
      <c r="A185" s="3" t="str">
        <f>"免疫球蛋白IgG定量测定（散射比浊法）"</f>
        <v>免疫球蛋白IgG定量测定（散射比浊法）</v>
      </c>
      <c r="B185" s="6">
        <v>20</v>
      </c>
      <c r="C185" s="6" t="str">
        <f t="shared" si="47"/>
        <v>次</v>
      </c>
      <c r="D185" s="6" t="str">
        <f>"项"</f>
        <v>项</v>
      </c>
      <c r="E185" s="6" t="str">
        <f>"检验费"</f>
        <v>检验费</v>
      </c>
    </row>
    <row r="186" spans="1:5">
      <c r="A186" s="3" t="str">
        <f>"免疫球蛋白IgM定量测定（散射比浊法）"</f>
        <v>免疫球蛋白IgM定量测定（散射比浊法）</v>
      </c>
      <c r="B186" s="6">
        <v>20</v>
      </c>
      <c r="C186" s="6" t="str">
        <f t="shared" si="47"/>
        <v>次</v>
      </c>
      <c r="D186" s="6" t="str">
        <f>"项"</f>
        <v>项</v>
      </c>
      <c r="E186" s="6" t="str">
        <f>"检验费"</f>
        <v>检验费</v>
      </c>
    </row>
    <row r="187" spans="1:5">
      <c r="A187" s="3" t="str">
        <f>"抗环瓜氨酸肽抗体（抗ccp抗体）测定"</f>
        <v>抗环瓜氨酸肽抗体（抗ccp抗体）测定</v>
      </c>
      <c r="B187" s="6">
        <v>100</v>
      </c>
      <c r="C187" s="6" t="str">
        <f>"次"</f>
        <v>次</v>
      </c>
      <c r="D187" s="6" t="str">
        <f>"次"</f>
        <v>次</v>
      </c>
      <c r="E187" s="6" t="str">
        <f>"检验费"</f>
        <v>检验费</v>
      </c>
    </row>
    <row r="188" spans="1:5">
      <c r="A188" s="3" t="str">
        <f>"丁型肝炎抗体测定(Anti-HDV)"</f>
        <v>丁型肝炎抗体测定(Anti-HDV)</v>
      </c>
      <c r="B188" s="6">
        <v>35</v>
      </c>
      <c r="C188" s="6" t="str">
        <f>"项"</f>
        <v>项</v>
      </c>
      <c r="D188" s="6" t="str">
        <f>"项"</f>
        <v>项</v>
      </c>
      <c r="E188" s="6" t="str">
        <f>"检验费"</f>
        <v>检验费</v>
      </c>
    </row>
    <row r="189" spans="1:5">
      <c r="A189" s="3" t="str">
        <f>"丙型肝炎病毒RNA测定（荧光定量检测）"</f>
        <v>丙型肝炎病毒RNA测定（荧光定量检测）</v>
      </c>
      <c r="B189" s="6">
        <v>150</v>
      </c>
      <c r="C189" s="6" t="str">
        <f>"项"</f>
        <v>项</v>
      </c>
      <c r="D189" s="6" t="str">
        <f>"项"</f>
        <v>项</v>
      </c>
      <c r="E189" s="6" t="str">
        <f>"检验费"</f>
        <v>检验费</v>
      </c>
    </row>
    <row r="190" spans="1:5">
      <c r="A190" s="17" t="str">
        <f>"血同型半胱氨酸测定（化学法）"</f>
        <v>血同型半胱氨酸测定（化学法）</v>
      </c>
      <c r="B190" s="17">
        <v>60</v>
      </c>
      <c r="C190" s="17"/>
      <c r="D190" s="17" t="str">
        <f>"项"</f>
        <v>项</v>
      </c>
      <c r="E190" s="17" t="str">
        <f>"检验费"</f>
        <v>检验费</v>
      </c>
    </row>
    <row r="191" spans="1:5">
      <c r="A191" s="17" t="str">
        <f>"红细胞沉降率测定(ESR)(仪器法)"</f>
        <v>红细胞沉降率测定(ESR)(仪器法)</v>
      </c>
      <c r="B191" s="17">
        <v>7</v>
      </c>
      <c r="C191" s="17" t="str">
        <f>"-"</f>
        <v>-</v>
      </c>
      <c r="D191" s="17" t="str">
        <f t="shared" ref="D191:D194" si="48">"次"</f>
        <v>次</v>
      </c>
      <c r="E191" s="17" t="str">
        <f>"检验费"</f>
        <v>检验费</v>
      </c>
    </row>
    <row r="192" spans="1:5">
      <c r="A192" s="17" t="str">
        <f>"血细胞分析（五分类）"</f>
        <v>血细胞分析（五分类）</v>
      </c>
      <c r="B192" s="17">
        <v>18</v>
      </c>
      <c r="C192" s="17" t="str">
        <f t="shared" ref="C192:C197" si="49">"次"</f>
        <v>次</v>
      </c>
      <c r="D192" s="17" t="str">
        <f t="shared" si="48"/>
        <v>次</v>
      </c>
      <c r="E192" s="17" t="str">
        <f>"检验费"</f>
        <v>检验费</v>
      </c>
    </row>
    <row r="193" spans="1:5">
      <c r="A193" s="17" t="str">
        <f>"尿妊娠试验"</f>
        <v>尿妊娠试验</v>
      </c>
      <c r="B193" s="17">
        <v>6</v>
      </c>
      <c r="C193" s="17" t="str">
        <f>"项"</f>
        <v>项</v>
      </c>
      <c r="D193" s="17" t="str">
        <f t="shared" ref="D193:D198" si="50">"项"</f>
        <v>项</v>
      </c>
      <c r="E193" s="17" t="str">
        <f>"检验费"</f>
        <v>检验费</v>
      </c>
    </row>
    <row r="194" spans="1:5">
      <c r="A194" s="17" t="str">
        <f>"尿常规化学检测"</f>
        <v>尿常规化学检测</v>
      </c>
      <c r="B194" s="17">
        <v>4.5</v>
      </c>
      <c r="C194" s="17" t="str">
        <f t="shared" si="49"/>
        <v>次</v>
      </c>
      <c r="D194" s="17" t="str">
        <f t="shared" si="48"/>
        <v>次</v>
      </c>
      <c r="E194" s="17" t="str">
        <f>"检验费"</f>
        <v>检验费</v>
      </c>
    </row>
    <row r="195" spans="1:5">
      <c r="A195" s="17" t="str">
        <f>"尿碘快速测定"</f>
        <v>尿碘快速测定</v>
      </c>
      <c r="B195" s="17">
        <v>25</v>
      </c>
      <c r="C195" s="17" t="str">
        <f t="shared" ref="C195:C203" si="51">"项"</f>
        <v>项</v>
      </c>
      <c r="D195" s="17" t="str">
        <f t="shared" si="50"/>
        <v>项</v>
      </c>
      <c r="E195" s="17" t="str">
        <f>"检验费"</f>
        <v>检验费</v>
      </c>
    </row>
    <row r="196" spans="1:5">
      <c r="A196" s="17" t="str">
        <f>"尿液分析"</f>
        <v>尿液分析</v>
      </c>
      <c r="B196" s="17">
        <v>10</v>
      </c>
      <c r="C196" s="17" t="str">
        <f t="shared" si="49"/>
        <v>次</v>
      </c>
      <c r="D196" s="17" t="str">
        <f t="shared" ref="D196:D199" si="52">"次"</f>
        <v>次</v>
      </c>
      <c r="E196" s="17" t="str">
        <f>"检验费"</f>
        <v>检验费</v>
      </c>
    </row>
    <row r="197" spans="1:5">
      <c r="A197" s="17" t="str">
        <f>"粪便常规"</f>
        <v>粪便常规</v>
      </c>
      <c r="B197" s="17">
        <v>5</v>
      </c>
      <c r="C197" s="17" t="str">
        <f t="shared" si="49"/>
        <v>次</v>
      </c>
      <c r="D197" s="17" t="str">
        <f t="shared" si="52"/>
        <v>次</v>
      </c>
      <c r="E197" s="17" t="str">
        <f>"检验费"</f>
        <v>检验费</v>
      </c>
    </row>
    <row r="198" spans="1:5">
      <c r="A198" s="17" t="str">
        <f>"粪便隐血试验(OB)"</f>
        <v>粪便隐血试验(OB)</v>
      </c>
      <c r="B198" s="17">
        <v>12</v>
      </c>
      <c r="C198" s="17" t="str">
        <f t="shared" si="51"/>
        <v>项</v>
      </c>
      <c r="D198" s="17" t="str">
        <f t="shared" si="50"/>
        <v>项</v>
      </c>
      <c r="E198" s="17" t="str">
        <f>"检验费"</f>
        <v>检验费</v>
      </c>
    </row>
    <row r="199" spans="1:5">
      <c r="A199" s="17" t="str">
        <f>"阴道分泌物检查"</f>
        <v>阴道分泌物检查</v>
      </c>
      <c r="B199" s="17">
        <v>7</v>
      </c>
      <c r="C199" s="17" t="str">
        <f>"次"</f>
        <v>次</v>
      </c>
      <c r="D199" s="17" t="str">
        <f t="shared" si="52"/>
        <v>次</v>
      </c>
      <c r="E199" s="17" t="str">
        <f>"检验费"</f>
        <v>检验费</v>
      </c>
    </row>
    <row r="200" spans="1:5">
      <c r="A200" s="17" t="str">
        <f>"细菌性阴道炎检查（白细胞酯梅）"</f>
        <v>细菌性阴道炎检查（白细胞酯梅）</v>
      </c>
      <c r="B200" s="17">
        <v>11</v>
      </c>
      <c r="C200" s="17" t="str">
        <f t="shared" si="51"/>
        <v>项</v>
      </c>
      <c r="D200" s="17" t="str">
        <f>"项"</f>
        <v>项</v>
      </c>
      <c r="E200" s="17" t="str">
        <f>"检验费"</f>
        <v>检验费</v>
      </c>
    </row>
    <row r="201" spans="1:5">
      <c r="A201" s="17" t="str">
        <f>"细菌性阴道炎检查（过氧化氢浓度）"</f>
        <v>细菌性阴道炎检查（过氧化氢浓度）</v>
      </c>
      <c r="B201" s="17">
        <v>11</v>
      </c>
      <c r="C201" s="17" t="str">
        <f t="shared" si="51"/>
        <v>项</v>
      </c>
      <c r="D201" s="17" t="str">
        <f>"项"</f>
        <v>项</v>
      </c>
      <c r="E201" s="17" t="str">
        <f>"检验费"</f>
        <v>检验费</v>
      </c>
    </row>
    <row r="202" spans="1:5">
      <c r="A202" s="17" t="str">
        <f>"细菌性阴道炎检查(唾液酸苷酶）"</f>
        <v>细菌性阴道炎检查(唾液酸苷酶）</v>
      </c>
      <c r="B202" s="17">
        <v>11</v>
      </c>
      <c r="C202" s="17" t="str">
        <f t="shared" si="51"/>
        <v>项</v>
      </c>
      <c r="D202" s="17" t="str">
        <f>"项"</f>
        <v>项</v>
      </c>
      <c r="E202" s="17" t="str">
        <f>"检验费"</f>
        <v>检验费</v>
      </c>
    </row>
    <row r="203" spans="1:5">
      <c r="A203" s="17" t="str">
        <f>"红细胞流变特性检测"</f>
        <v>红细胞流变特性检测</v>
      </c>
      <c r="B203" s="17">
        <v>8</v>
      </c>
      <c r="C203" s="17" t="str">
        <f>"次"</f>
        <v>次</v>
      </c>
      <c r="D203" s="17" t="str">
        <f>"次"</f>
        <v>次</v>
      </c>
      <c r="E203" s="17" t="str">
        <f>"检验费"</f>
        <v>检验费</v>
      </c>
    </row>
    <row r="204" spans="1:5">
      <c r="A204" s="17" t="str">
        <f>"血浆粘度测定"</f>
        <v>血浆粘度测定</v>
      </c>
      <c r="B204" s="17">
        <v>5</v>
      </c>
      <c r="C204" s="17" t="str">
        <f>"项"</f>
        <v>项</v>
      </c>
      <c r="D204" s="17" t="str">
        <f>"项"</f>
        <v>项</v>
      </c>
      <c r="E204" s="17" t="str">
        <f t="shared" ref="E204:E242" si="53">"检验费"</f>
        <v>检验费</v>
      </c>
    </row>
    <row r="205" spans="1:5">
      <c r="A205" s="17" t="str">
        <f>"血清总蛋白测定化学法"</f>
        <v>血清总蛋白测定化学法</v>
      </c>
      <c r="B205" s="17">
        <v>4</v>
      </c>
      <c r="C205" s="17" t="str">
        <f>"项"</f>
        <v>项</v>
      </c>
      <c r="D205" s="17" t="str">
        <f>"项"</f>
        <v>项</v>
      </c>
      <c r="E205" s="17" t="str">
        <f t="shared" si="53"/>
        <v>检验费</v>
      </c>
    </row>
    <row r="206" spans="1:5">
      <c r="A206" s="17" t="str">
        <f>"血清白蛋白测定化学法"</f>
        <v>血清白蛋白测定化学法</v>
      </c>
      <c r="B206" s="17">
        <v>4</v>
      </c>
      <c r="C206" s="17" t="str">
        <f>"项"</f>
        <v>项</v>
      </c>
      <c r="D206" s="17" t="str">
        <f>"项"</f>
        <v>项</v>
      </c>
      <c r="E206" s="17" t="str">
        <f t="shared" si="53"/>
        <v>检验费</v>
      </c>
    </row>
    <row r="207" spans="1:5">
      <c r="A207" s="17" t="str">
        <f>"血清前白蛋白测定（免疫比浊法、化学发光法）"</f>
        <v>血清前白蛋白测定（免疫比浊法、化学发光法）</v>
      </c>
      <c r="B207" s="17">
        <v>22</v>
      </c>
      <c r="C207" s="17" t="str">
        <f>"-"</f>
        <v>-</v>
      </c>
      <c r="D207" s="17" t="str">
        <f>"项"</f>
        <v>项</v>
      </c>
      <c r="E207" s="17" t="str">
        <f t="shared" si="53"/>
        <v>检验费</v>
      </c>
    </row>
    <row r="208" spans="1:5">
      <c r="A208" s="17" t="str">
        <f>"超敏C反应蛋白测定（速率散射比浊法）"</f>
        <v>超敏C反应蛋白测定（速率散射比浊法）</v>
      </c>
      <c r="B208" s="17">
        <v>30</v>
      </c>
      <c r="C208" s="17" t="str">
        <f>"-"</f>
        <v>-</v>
      </c>
      <c r="D208" s="17" t="str">
        <f>"项"</f>
        <v>项</v>
      </c>
      <c r="E208" s="17" t="str">
        <f t="shared" si="53"/>
        <v>检验费</v>
      </c>
    </row>
    <row r="209" spans="1:5">
      <c r="A209" s="17" t="str">
        <f>"葡萄糖测定"</f>
        <v>葡萄糖测定</v>
      </c>
      <c r="B209" s="17">
        <v>4</v>
      </c>
      <c r="C209" s="17" t="str">
        <f>"次"</f>
        <v>次</v>
      </c>
      <c r="D209" s="17" t="str">
        <f>"次"</f>
        <v>次</v>
      </c>
      <c r="E209" s="17" t="str">
        <f t="shared" si="53"/>
        <v>检验费</v>
      </c>
    </row>
    <row r="210" spans="1:5">
      <c r="A210" s="17" t="str">
        <f>"糖化血红蛋白测定"</f>
        <v>糖化血红蛋白测定</v>
      </c>
      <c r="B210" s="17">
        <v>30</v>
      </c>
      <c r="C210" s="17" t="str">
        <f>"次"</f>
        <v>次</v>
      </c>
      <c r="D210" s="17" t="str">
        <f>"次"</f>
        <v>次</v>
      </c>
      <c r="E210" s="17" t="str">
        <f t="shared" si="53"/>
        <v>检验费</v>
      </c>
    </row>
    <row r="211" spans="1:5">
      <c r="A211" s="17" t="str">
        <f>"血清总胆固醇测定化学法、酶法"</f>
        <v>血清总胆固醇测定化学法、酶法</v>
      </c>
      <c r="B211" s="17">
        <v>4</v>
      </c>
      <c r="C211" s="17" t="str">
        <f t="shared" ref="C211:C216" si="54">"项"</f>
        <v>项</v>
      </c>
      <c r="D211" s="17" t="str">
        <f t="shared" ref="D211:D224" si="55">"项"</f>
        <v>项</v>
      </c>
      <c r="E211" s="17" t="str">
        <f t="shared" si="53"/>
        <v>检验费</v>
      </c>
    </row>
    <row r="212" spans="1:5">
      <c r="A212" s="17" t="str">
        <f>"血清甘油三酯测定化学法、酶法"</f>
        <v>血清甘油三酯测定化学法、酶法</v>
      </c>
      <c r="B212" s="17">
        <v>5</v>
      </c>
      <c r="C212" s="17" t="str">
        <f t="shared" si="54"/>
        <v>项</v>
      </c>
      <c r="D212" s="17" t="str">
        <f t="shared" si="55"/>
        <v>项</v>
      </c>
      <c r="E212" s="17" t="str">
        <f t="shared" si="53"/>
        <v>检验费</v>
      </c>
    </row>
    <row r="213" spans="1:5">
      <c r="A213" s="17" t="str">
        <f>"血清高密度脂蛋白胆固醇测定"</f>
        <v>血清高密度脂蛋白胆固醇测定</v>
      </c>
      <c r="B213" s="17">
        <v>8</v>
      </c>
      <c r="C213" s="17" t="str">
        <f t="shared" si="54"/>
        <v>项</v>
      </c>
      <c r="D213" s="17" t="str">
        <f t="shared" si="55"/>
        <v>项</v>
      </c>
      <c r="E213" s="17" t="str">
        <f t="shared" si="53"/>
        <v>检验费</v>
      </c>
    </row>
    <row r="214" spans="1:5">
      <c r="A214" s="17" t="str">
        <f>"血清低密度脂蛋白胆固醇测定其他方法"</f>
        <v>血清低密度脂蛋白胆固醇测定其他方法</v>
      </c>
      <c r="B214" s="17">
        <v>8</v>
      </c>
      <c r="C214" s="17" t="str">
        <f t="shared" si="54"/>
        <v>项</v>
      </c>
      <c r="D214" s="17" t="str">
        <f t="shared" si="55"/>
        <v>项</v>
      </c>
      <c r="E214" s="17" t="str">
        <f t="shared" si="53"/>
        <v>检验费</v>
      </c>
    </row>
    <row r="215" spans="1:5">
      <c r="A215" s="17" t="str">
        <f>"血清载脂蛋白AⅠ测定"</f>
        <v>血清载脂蛋白AⅠ测定</v>
      </c>
      <c r="B215" s="17">
        <v>25</v>
      </c>
      <c r="C215" s="17" t="str">
        <f t="shared" si="54"/>
        <v>项</v>
      </c>
      <c r="D215" s="17" t="str">
        <f t="shared" si="55"/>
        <v>项</v>
      </c>
      <c r="E215" s="17" t="str">
        <f t="shared" si="53"/>
        <v>检验费</v>
      </c>
    </row>
    <row r="216" spans="1:5">
      <c r="A216" s="17" t="str">
        <f>"血清载脂蛋白B测定"</f>
        <v>血清载脂蛋白B测定</v>
      </c>
      <c r="B216" s="17">
        <v>25</v>
      </c>
      <c r="C216" s="17" t="str">
        <f t="shared" si="54"/>
        <v>项</v>
      </c>
      <c r="D216" s="17" t="str">
        <f t="shared" si="55"/>
        <v>项</v>
      </c>
      <c r="E216" s="17" t="str">
        <f t="shared" si="53"/>
        <v>检验费</v>
      </c>
    </row>
    <row r="217" spans="1:5">
      <c r="A217" s="17" t="str">
        <f>"血清载脂蛋白α测定（免疫比浊法）"</f>
        <v>血清载脂蛋白α测定（免疫比浊法）</v>
      </c>
      <c r="B217" s="17">
        <v>25</v>
      </c>
      <c r="C217" s="17" t="str">
        <f>"-"</f>
        <v>-</v>
      </c>
      <c r="D217" s="17" t="str">
        <f t="shared" si="55"/>
        <v>项</v>
      </c>
      <c r="E217" s="17" t="str">
        <f t="shared" si="53"/>
        <v>检验费</v>
      </c>
    </row>
    <row r="218" spans="1:5">
      <c r="A218" s="17" t="str">
        <f>"钾测定"</f>
        <v>钾测定</v>
      </c>
      <c r="B218" s="17">
        <v>4</v>
      </c>
      <c r="C218" s="17" t="str">
        <f>"项"</f>
        <v>项</v>
      </c>
      <c r="D218" s="17" t="str">
        <f t="shared" si="55"/>
        <v>项</v>
      </c>
      <c r="E218" s="17" t="str">
        <f t="shared" si="53"/>
        <v>检验费</v>
      </c>
    </row>
    <row r="219" spans="1:5">
      <c r="A219" s="17" t="str">
        <f>"氯测定"</f>
        <v>氯测定</v>
      </c>
      <c r="B219" s="17">
        <v>4</v>
      </c>
      <c r="C219" s="17" t="str">
        <f>"项"</f>
        <v>项</v>
      </c>
      <c r="D219" s="17" t="str">
        <f>"项"</f>
        <v>项</v>
      </c>
      <c r="E219" s="17" t="str">
        <f>"检验费"</f>
        <v>检验费</v>
      </c>
    </row>
    <row r="220" spans="1:5">
      <c r="A220" s="17" t="str">
        <f>"钙测定"</f>
        <v>钙测定</v>
      </c>
      <c r="B220" s="17">
        <v>4</v>
      </c>
      <c r="C220" s="17" t="str">
        <f>"项"</f>
        <v>项</v>
      </c>
      <c r="D220" s="17" t="str">
        <f>"项"</f>
        <v>项</v>
      </c>
      <c r="E220" s="17" t="str">
        <f>"检验费"</f>
        <v>检验费</v>
      </c>
    </row>
    <row r="221" spans="1:5">
      <c r="A221" s="17" t="str">
        <f>"无机磷测定"</f>
        <v>无机磷测定</v>
      </c>
      <c r="B221" s="17">
        <v>4</v>
      </c>
      <c r="C221" s="17" t="str">
        <f>"项"</f>
        <v>项</v>
      </c>
      <c r="D221" s="17" t="str">
        <f>"项"</f>
        <v>项</v>
      </c>
      <c r="E221" s="17" t="str">
        <f>"检验费"</f>
        <v>检验费</v>
      </c>
    </row>
    <row r="222" spans="1:5">
      <c r="A222" s="18" t="str">
        <f>"血清总胆红素测定"</f>
        <v>血清总胆红素测定</v>
      </c>
      <c r="B222" s="18">
        <v>4</v>
      </c>
      <c r="C222" s="18" t="str">
        <f t="shared" ref="C222:C228" si="56">"项"</f>
        <v>项</v>
      </c>
      <c r="D222" s="18" t="str">
        <f t="shared" ref="D222:D232" si="57">"项"</f>
        <v>项</v>
      </c>
      <c r="E222" s="18" t="str">
        <f>"检验费"</f>
        <v>检验费</v>
      </c>
    </row>
    <row r="223" spans="1:5">
      <c r="A223" s="18" t="str">
        <f>"血清直接胆红素测定"</f>
        <v>血清直接胆红素测定</v>
      </c>
      <c r="B223" s="18">
        <v>4</v>
      </c>
      <c r="C223" s="18" t="str">
        <f t="shared" si="56"/>
        <v>项</v>
      </c>
      <c r="D223" s="18" t="str">
        <f t="shared" si="57"/>
        <v>项</v>
      </c>
      <c r="E223" s="18" t="str">
        <f>"检验费"</f>
        <v>检验费</v>
      </c>
    </row>
    <row r="224" spans="1:5">
      <c r="A224" s="18" t="str">
        <f>"血清总胆汁酸测定"</f>
        <v>血清总胆汁酸测定</v>
      </c>
      <c r="B224" s="18">
        <v>8</v>
      </c>
      <c r="C224" s="18" t="str">
        <f t="shared" si="56"/>
        <v>项</v>
      </c>
      <c r="D224" s="18" t="str">
        <f t="shared" si="57"/>
        <v>项</v>
      </c>
      <c r="E224" s="18" t="str">
        <f>"检验费"</f>
        <v>检验费</v>
      </c>
    </row>
    <row r="225" spans="1:5">
      <c r="A225" s="18" t="str">
        <f>"(ALT)血清丙氨酸氨基转移酶测定"</f>
        <v>(ALT)血清丙氨酸氨基转移酶测定</v>
      </c>
      <c r="B225" s="18">
        <v>5</v>
      </c>
      <c r="C225" s="18" t="str">
        <f t="shared" si="56"/>
        <v>项</v>
      </c>
      <c r="D225" s="18" t="str">
        <f t="shared" si="57"/>
        <v>项</v>
      </c>
      <c r="E225" s="18" t="str">
        <f>"检验费"</f>
        <v>检验费</v>
      </c>
    </row>
    <row r="226" spans="1:5">
      <c r="A226" s="18" t="str">
        <f>"(AST)血清天门冬氨酸氨基转移酶测定速率法"</f>
        <v>(AST)血清天门冬氨酸氨基转移酶测定速率法</v>
      </c>
      <c r="B226" s="18">
        <v>5</v>
      </c>
      <c r="C226" s="18" t="str">
        <f t="shared" si="56"/>
        <v>项</v>
      </c>
      <c r="D226" s="18" t="str">
        <f t="shared" si="57"/>
        <v>项</v>
      </c>
      <c r="E226" s="18" t="str">
        <f>"检验费"</f>
        <v>检验费</v>
      </c>
    </row>
    <row r="227" spans="1:5">
      <c r="A227" s="18" t="str">
        <f>"血清γ-谷氨酰基转移酶测定速率法"</f>
        <v>血清γ-谷氨酰基转移酶测定速率法</v>
      </c>
      <c r="B227" s="18">
        <v>5</v>
      </c>
      <c r="C227" s="18" t="str">
        <f t="shared" si="56"/>
        <v>项</v>
      </c>
      <c r="D227" s="18" t="str">
        <f t="shared" si="57"/>
        <v>项</v>
      </c>
      <c r="E227" s="18" t="str">
        <f>"检验费"</f>
        <v>检验费</v>
      </c>
    </row>
    <row r="228" spans="1:5">
      <c r="A228" s="18" t="str">
        <f>"血清碱性磷酸酶测定速率法(ALP)"</f>
        <v>血清碱性磷酸酶测定速率法(ALP)</v>
      </c>
      <c r="B228" s="18">
        <v>5</v>
      </c>
      <c r="C228" s="18" t="str">
        <f t="shared" si="56"/>
        <v>项</v>
      </c>
      <c r="D228" s="18" t="str">
        <f t="shared" si="57"/>
        <v>项</v>
      </c>
      <c r="E228" s="18" t="str">
        <f>"检验费"</f>
        <v>检验费</v>
      </c>
    </row>
    <row r="229" spans="1:5">
      <c r="A229" s="18" t="str">
        <f>"血清胆碱脂酶测定（速率法）"</f>
        <v>血清胆碱脂酶测定（速率法）</v>
      </c>
      <c r="B229" s="18">
        <v>5</v>
      </c>
      <c r="C229" s="18" t="str">
        <f>"-"</f>
        <v>-</v>
      </c>
      <c r="D229" s="18" t="str">
        <f t="shared" si="57"/>
        <v>项</v>
      </c>
      <c r="E229" s="18" t="str">
        <f>"检验费"</f>
        <v>检验费</v>
      </c>
    </row>
    <row r="230" spans="1:5">
      <c r="A230" s="17" t="str">
        <f>"血清肌酸激酶测定（速率法）"</f>
        <v>血清肌酸激酶测定（速率法）</v>
      </c>
      <c r="B230" s="17">
        <v>5</v>
      </c>
      <c r="C230" s="17" t="str">
        <f>"-"</f>
        <v>-</v>
      </c>
      <c r="D230" s="17" t="str">
        <f>"项"</f>
        <v>项</v>
      </c>
      <c r="E230" s="17" t="str">
        <f>"检验费"</f>
        <v>检验费</v>
      </c>
    </row>
    <row r="231" spans="1:5">
      <c r="A231" s="17" t="str">
        <f>"血清肌酸激酶-MB同工酶活性测定（速率法）"</f>
        <v>血清肌酸激酶-MB同工酶活性测定（速率法）</v>
      </c>
      <c r="B231" s="17">
        <v>5</v>
      </c>
      <c r="C231" s="17" t="str">
        <f>"-"</f>
        <v>-</v>
      </c>
      <c r="D231" s="17" t="str">
        <f>"项"</f>
        <v>项</v>
      </c>
      <c r="E231" s="17" t="str">
        <f>"检验费"</f>
        <v>检验费</v>
      </c>
    </row>
    <row r="232" spans="1:5">
      <c r="A232" s="17" t="str">
        <f>"(LDH)乳酸脱氢酶测定"</f>
        <v>(LDH)乳酸脱氢酶测定</v>
      </c>
      <c r="B232" s="17">
        <v>5</v>
      </c>
      <c r="C232" s="17" t="str">
        <f>"项"</f>
        <v>项</v>
      </c>
      <c r="D232" s="17" t="str">
        <f>"项"</f>
        <v>项</v>
      </c>
      <c r="E232" s="17" t="str">
        <f>"检验费"</f>
        <v>检验费</v>
      </c>
    </row>
    <row r="233" spans="1:5">
      <c r="A233" s="17" t="str">
        <f>"B型钠尿肽前体（PRO-BNP）测定"</f>
        <v>B型钠尿肽前体（PRO-BNP）测定</v>
      </c>
      <c r="B233" s="17">
        <v>150</v>
      </c>
      <c r="C233" s="17" t="str">
        <f>"次"</f>
        <v>次</v>
      </c>
      <c r="D233" s="17" t="str">
        <f>"次"</f>
        <v>次</v>
      </c>
      <c r="E233" s="17" t="str">
        <f>"检验费"</f>
        <v>检验费</v>
      </c>
    </row>
    <row r="234" spans="1:5">
      <c r="A234" s="17" t="str">
        <f>"尿素测定"</f>
        <v>尿素测定</v>
      </c>
      <c r="B234" s="17">
        <v>4</v>
      </c>
      <c r="C234" s="17" t="str">
        <f>"项"</f>
        <v>项</v>
      </c>
      <c r="D234" s="17" t="str">
        <f>"项"</f>
        <v>项</v>
      </c>
      <c r="E234" s="17" t="str">
        <f>"检验费"</f>
        <v>检验费</v>
      </c>
    </row>
    <row r="235" spans="1:5">
      <c r="A235" s="17" t="str">
        <f>"肌酐测定"</f>
        <v>肌酐测定</v>
      </c>
      <c r="B235" s="17">
        <v>4</v>
      </c>
      <c r="C235" s="17" t="str">
        <f>"项"</f>
        <v>项</v>
      </c>
      <c r="D235" s="17" t="str">
        <f>"项"</f>
        <v>项</v>
      </c>
      <c r="E235" s="17" t="str">
        <f>"检验费"</f>
        <v>检验费</v>
      </c>
    </row>
    <row r="236" spans="1:5">
      <c r="A236" s="17" t="str">
        <f>"血清尿酸测定"</f>
        <v>血清尿酸测定</v>
      </c>
      <c r="B236" s="17">
        <v>3</v>
      </c>
      <c r="C236" s="17" t="str">
        <f>"项"</f>
        <v>项</v>
      </c>
      <c r="D236" s="17" t="str">
        <f>"项"</f>
        <v>项</v>
      </c>
      <c r="E236" s="17" t="str">
        <f>"检验费"</f>
        <v>检验费</v>
      </c>
    </row>
    <row r="237" spans="1:5">
      <c r="A237" s="17" t="str">
        <f>"尿微量白蛋白测定（各种免疫学方法）"</f>
        <v>尿微量白蛋白测定（各种免疫学方法）</v>
      </c>
      <c r="B237" s="17">
        <v>20</v>
      </c>
      <c r="C237" s="17" t="str">
        <f>"次"</f>
        <v>次</v>
      </c>
      <c r="D237" s="17" t="str">
        <f>"每次"</f>
        <v>每次</v>
      </c>
      <c r="E237" s="17" t="str">
        <f>"检验费"</f>
        <v>检验费</v>
      </c>
    </row>
    <row r="238" spans="1:5">
      <c r="A238" s="17" t="str">
        <f>"β2微球蛋白测定（化学发光法）"</f>
        <v>β2微球蛋白测定（化学发光法）</v>
      </c>
      <c r="B238" s="17">
        <v>45</v>
      </c>
      <c r="C238" s="17">
        <v>1</v>
      </c>
      <c r="D238" s="17" t="str">
        <f>"项"</f>
        <v>项</v>
      </c>
      <c r="E238" s="17" t="str">
        <f>"检验费"</f>
        <v>检验费</v>
      </c>
    </row>
    <row r="239" spans="1:5">
      <c r="A239" s="17" t="str">
        <f>"淀粉酶测定（血清）"</f>
        <v>淀粉酶测定（血清）</v>
      </c>
      <c r="B239" s="17">
        <v>6</v>
      </c>
      <c r="C239" s="17" t="str">
        <f>"项"</f>
        <v>项</v>
      </c>
      <c r="D239" s="17" t="str">
        <f>"项"</f>
        <v>项</v>
      </c>
      <c r="E239" s="17" t="str">
        <f>"检验费"</f>
        <v>检验费</v>
      </c>
    </row>
    <row r="240" spans="1:5">
      <c r="A240" s="17" t="str">
        <f>"25羟维生素D测定"</f>
        <v>25羟维生素D测定</v>
      </c>
      <c r="B240" s="17">
        <v>110</v>
      </c>
      <c r="C240" s="17" t="str">
        <f>"-"</f>
        <v>-</v>
      </c>
      <c r="D240" s="17" t="str">
        <f>"项"</f>
        <v>项</v>
      </c>
      <c r="E240" s="17" t="str">
        <f>"检验费"</f>
        <v>检验费</v>
      </c>
    </row>
    <row r="241" spans="1:5">
      <c r="A241" s="17" t="str">
        <f>"叶酸测定化学发光法"</f>
        <v>叶酸测定化学发光法</v>
      </c>
      <c r="B241" s="17">
        <v>40</v>
      </c>
      <c r="C241" s="17" t="str">
        <f>"项"</f>
        <v>项</v>
      </c>
      <c r="D241" s="17" t="str">
        <f>"项"</f>
        <v>项</v>
      </c>
      <c r="E241" s="17" t="str">
        <f>"检验费"</f>
        <v>检验费</v>
      </c>
    </row>
    <row r="242" spans="1:5">
      <c r="A242" s="17" t="str">
        <f>"(TSH)血清促甲状腺激素测定"</f>
        <v>(TSH)血清促甲状腺激素测定</v>
      </c>
      <c r="B242" s="17">
        <v>40</v>
      </c>
      <c r="C242" s="17" t="str">
        <f>"项"</f>
        <v>项</v>
      </c>
      <c r="D242" s="17" t="str">
        <f>"项"</f>
        <v>项</v>
      </c>
      <c r="E242" s="17" t="str">
        <f>"检验费"</f>
        <v>检验费</v>
      </c>
    </row>
    <row r="243" spans="1:5">
      <c r="A243" s="17" t="str">
        <f>"(PRL)血清泌乳素测定"</f>
        <v>(PRL)血清泌乳素测定</v>
      </c>
      <c r="B243" s="17">
        <v>45</v>
      </c>
      <c r="C243" s="17" t="str">
        <f>"项"</f>
        <v>项</v>
      </c>
      <c r="D243" s="17" t="str">
        <f>"项"</f>
        <v>项</v>
      </c>
      <c r="E243" s="17" t="str">
        <f>"检验费"</f>
        <v>检验费</v>
      </c>
    </row>
    <row r="244" spans="1:5">
      <c r="A244" s="17" t="str">
        <f>"(FSH)血清促卵泡刺激素测定"</f>
        <v>(FSH)血清促卵泡刺激素测定</v>
      </c>
      <c r="B244" s="17">
        <v>40</v>
      </c>
      <c r="C244" s="17" t="str">
        <f>"项"</f>
        <v>项</v>
      </c>
      <c r="D244" s="17" t="str">
        <f>"项"</f>
        <v>项</v>
      </c>
      <c r="E244" s="17" t="str">
        <f>"检验费"</f>
        <v>检验费</v>
      </c>
    </row>
    <row r="245" spans="1:5">
      <c r="A245" s="17" t="str">
        <f>"(LH)血清促黄体生成素测定"</f>
        <v>(LH)血清促黄体生成素测定</v>
      </c>
      <c r="B245" s="17">
        <v>40</v>
      </c>
      <c r="C245" s="17" t="str">
        <f>"项"</f>
        <v>项</v>
      </c>
      <c r="D245" s="17" t="str">
        <f>"项"</f>
        <v>项</v>
      </c>
      <c r="E245" s="17" t="str">
        <f>"检验费"</f>
        <v>检验费</v>
      </c>
    </row>
    <row r="246" spans="1:5">
      <c r="A246" s="17" t="str">
        <f>"血清甲状腺素(T4)测定"</f>
        <v>血清甲状腺素(T4)测定</v>
      </c>
      <c r="B246" s="17">
        <v>40</v>
      </c>
      <c r="C246" s="17" t="str">
        <f>"项"</f>
        <v>项</v>
      </c>
      <c r="D246" s="17" t="str">
        <f>"项"</f>
        <v>项</v>
      </c>
      <c r="E246" s="17" t="str">
        <f>"检验费"</f>
        <v>检验费</v>
      </c>
    </row>
    <row r="247" spans="1:5">
      <c r="A247" s="17" t="str">
        <f>"血清三碘甲状原氨酸(T3)测定"</f>
        <v>血清三碘甲状原氨酸(T3)测定</v>
      </c>
      <c r="B247" s="17">
        <v>40</v>
      </c>
      <c r="C247" s="17" t="str">
        <f>"项"</f>
        <v>项</v>
      </c>
      <c r="D247" s="17" t="str">
        <f>"项"</f>
        <v>项</v>
      </c>
      <c r="E247" s="17" t="str">
        <f>"检验费"</f>
        <v>检验费</v>
      </c>
    </row>
    <row r="248" spans="1:5">
      <c r="A248" s="17" t="str">
        <f>"血清游离甲状腺素(FT4)测定"</f>
        <v>血清游离甲状腺素(FT4)测定</v>
      </c>
      <c r="B248" s="17">
        <v>40</v>
      </c>
      <c r="C248" s="17" t="str">
        <f>"项"</f>
        <v>项</v>
      </c>
      <c r="D248" s="17" t="str">
        <f>"项"</f>
        <v>项</v>
      </c>
      <c r="E248" s="17" t="str">
        <f>"检验费"</f>
        <v>检验费</v>
      </c>
    </row>
    <row r="249" spans="1:5">
      <c r="A249" s="17" t="str">
        <f>"血清游离三碘甲状原氨酸(FT3)测定"</f>
        <v>血清游离三碘甲状原氨酸(FT3)测定</v>
      </c>
      <c r="B249" s="17">
        <v>40</v>
      </c>
      <c r="C249" s="17" t="str">
        <f>"项"</f>
        <v>项</v>
      </c>
      <c r="D249" s="17" t="str">
        <f>"项"</f>
        <v>项</v>
      </c>
      <c r="E249" s="17" t="str">
        <f>"检验费"</f>
        <v>检验费</v>
      </c>
    </row>
    <row r="250" spans="1:5">
      <c r="A250" s="17" t="str">
        <f>"血清甲状腺结合球蛋白测定（化学发光法、荧光免疫法）"</f>
        <v>血清甲状腺结合球蛋白测定（化学发光法、荧光免疫法）</v>
      </c>
      <c r="B250" s="17">
        <v>60</v>
      </c>
      <c r="C250" s="17" t="str">
        <f>"-"</f>
        <v>-</v>
      </c>
      <c r="D250" s="17" t="str">
        <f>"项"</f>
        <v>项</v>
      </c>
      <c r="E250" s="17" t="str">
        <f>"检验费"</f>
        <v>检验费</v>
      </c>
    </row>
    <row r="251" spans="1:5">
      <c r="A251" s="17" t="str">
        <f>"(T)睾酮测定"</f>
        <v>(T)睾酮测定</v>
      </c>
      <c r="B251" s="17">
        <v>60</v>
      </c>
      <c r="C251" s="17" t="str">
        <f>"项"</f>
        <v>项</v>
      </c>
      <c r="D251" s="17" t="str">
        <f>"项"</f>
        <v>项</v>
      </c>
      <c r="E251" s="17" t="str">
        <f>"检验费"</f>
        <v>检验费</v>
      </c>
    </row>
    <row r="252" spans="1:5">
      <c r="A252" s="17" t="str">
        <f>"雌三醇测定（化学发光法、荧光免疫法）"</f>
        <v>雌三醇测定（化学发光法、荧光免疫法）</v>
      </c>
      <c r="B252" s="17">
        <v>60</v>
      </c>
      <c r="C252" s="17" t="str">
        <f>"-"</f>
        <v>-</v>
      </c>
      <c r="D252" s="17" t="str">
        <f>"项"</f>
        <v>项</v>
      </c>
      <c r="E252" s="17" t="str">
        <f>"检验费"</f>
        <v>检验费</v>
      </c>
    </row>
    <row r="253" spans="1:5">
      <c r="A253" s="17" t="str">
        <f>"(E2)雌二醇测定"</f>
        <v>(E2)雌二醇测定</v>
      </c>
      <c r="B253" s="17">
        <v>60</v>
      </c>
      <c r="C253" s="17" t="str">
        <f>"项"</f>
        <v>项</v>
      </c>
      <c r="D253" s="17" t="str">
        <f>"项"</f>
        <v>项</v>
      </c>
      <c r="E253" s="17" t="str">
        <f>"检验费"</f>
        <v>检验费</v>
      </c>
    </row>
    <row r="254" spans="1:5">
      <c r="A254" s="17" t="str">
        <f>"(P)孕酮测定"</f>
        <v>(P)孕酮测定</v>
      </c>
      <c r="B254" s="17">
        <v>60</v>
      </c>
      <c r="C254" s="17" t="str">
        <f>"项"</f>
        <v>项</v>
      </c>
      <c r="D254" s="17" t="str">
        <f>"项"</f>
        <v>项</v>
      </c>
      <c r="E254" s="17" t="str">
        <f>"检验费"</f>
        <v>检验费</v>
      </c>
    </row>
    <row r="255" spans="1:5">
      <c r="A255" s="17" t="str">
        <f>"(HCG)血清人绒毛膜促性腺激素测定"</f>
        <v>(HCG)血清人绒毛膜促性腺激素测定</v>
      </c>
      <c r="B255" s="17">
        <v>40</v>
      </c>
      <c r="C255" s="17" t="str">
        <f>"项"</f>
        <v>项</v>
      </c>
      <c r="D255" s="17" t="str">
        <f>"项"</f>
        <v>项</v>
      </c>
      <c r="E255" s="17" t="str">
        <f>"检验费"</f>
        <v>检验费</v>
      </c>
    </row>
    <row r="256" spans="1:5">
      <c r="A256" s="17" t="str">
        <f>"(INS)血清胰岛素测定"</f>
        <v>(INS)血清胰岛素测定</v>
      </c>
      <c r="B256" s="17">
        <v>40</v>
      </c>
      <c r="C256" s="17" t="str">
        <f>"项"</f>
        <v>项</v>
      </c>
      <c r="D256" s="17" t="str">
        <f>"项"</f>
        <v>项</v>
      </c>
      <c r="E256" s="17" t="str">
        <f>"检验费"</f>
        <v>检验费</v>
      </c>
    </row>
    <row r="257" spans="1:5">
      <c r="A257" s="17" t="str">
        <f>"(CP)血清C肽测定"</f>
        <v>(CP)血清C肽测定</v>
      </c>
      <c r="B257" s="17">
        <v>60</v>
      </c>
      <c r="C257" s="17" t="str">
        <f>"项"</f>
        <v>项</v>
      </c>
      <c r="D257" s="17" t="str">
        <f>"项"</f>
        <v>项</v>
      </c>
      <c r="E257" s="17" t="str">
        <f>"检验费"</f>
        <v>检验费</v>
      </c>
    </row>
    <row r="258" spans="1:5">
      <c r="A258" s="17" t="str">
        <f>"降钙素原检测（发光法）"</f>
        <v>降钙素原检测（发光法）</v>
      </c>
      <c r="B258" s="17">
        <v>70</v>
      </c>
      <c r="C258" s="17" t="str">
        <f>"项"</f>
        <v>项</v>
      </c>
      <c r="D258" s="17" t="str">
        <f>"项"</f>
        <v>项</v>
      </c>
      <c r="E258" s="17" t="str">
        <f>"检验费"</f>
        <v>检验费</v>
      </c>
    </row>
    <row r="259" spans="1:5">
      <c r="A259" s="17" t="str">
        <f>"抗缪勒氏管激素定量测定（AMH）(发光法)"</f>
        <v>抗缪勒氏管激素定量测定（AMH）(发光法)</v>
      </c>
      <c r="B259" s="17">
        <v>160</v>
      </c>
      <c r="C259" s="17" t="str">
        <f>"项"</f>
        <v>项</v>
      </c>
      <c r="D259" s="17" t="str">
        <f t="shared" ref="D259:D265" si="58">"项"</f>
        <v>项</v>
      </c>
      <c r="E259" s="17" t="str">
        <f>"检验费"</f>
        <v>检验费</v>
      </c>
    </row>
    <row r="260" spans="1:5">
      <c r="A260" s="17" t="str">
        <f>"C-反应蛋白测定(CRP)"</f>
        <v>C-反应蛋白测定(CRP)</v>
      </c>
      <c r="B260" s="17">
        <v>20</v>
      </c>
      <c r="C260" s="17" t="str">
        <f>"项"</f>
        <v>项</v>
      </c>
      <c r="D260" s="17" t="str">
        <f>"项"</f>
        <v>项</v>
      </c>
      <c r="E260" s="17" t="str">
        <f>"检验费"</f>
        <v>检验费</v>
      </c>
    </row>
    <row r="261" spans="1:5">
      <c r="A261" s="17" t="str">
        <f>"抗甲状腺球蛋白抗体测定(TGAb)"</f>
        <v>抗甲状腺球蛋白抗体测定(TGAb)</v>
      </c>
      <c r="B261" s="17">
        <v>35</v>
      </c>
      <c r="C261" s="17" t="str">
        <f>"项"</f>
        <v>项</v>
      </c>
      <c r="D261" s="17" t="str">
        <f>"项"</f>
        <v>项</v>
      </c>
      <c r="E261" s="17" t="str">
        <f>"检验费"</f>
        <v>检验费</v>
      </c>
    </row>
    <row r="262" spans="1:5">
      <c r="A262" s="17" t="str">
        <f>"甲状腺球蛋白测定"</f>
        <v>甲状腺球蛋白测定</v>
      </c>
      <c r="B262" s="17">
        <v>55</v>
      </c>
      <c r="C262" s="17" t="str">
        <f>"项"</f>
        <v>项</v>
      </c>
      <c r="D262" s="17" t="str">
        <f>"项"</f>
        <v>项</v>
      </c>
      <c r="E262" s="17" t="str">
        <f>"检验费"</f>
        <v>检验费</v>
      </c>
    </row>
    <row r="263" spans="1:5">
      <c r="A263" s="17" t="str">
        <f>"类风湿因子(RF)测定"</f>
        <v>类风湿因子(RF)测定</v>
      </c>
      <c r="B263" s="17">
        <v>15</v>
      </c>
      <c r="C263" s="17" t="str">
        <f>"项"</f>
        <v>项</v>
      </c>
      <c r="D263" s="17" t="str">
        <f>"项"</f>
        <v>项</v>
      </c>
      <c r="E263" s="17" t="str">
        <f>"检验费"</f>
        <v>检验费</v>
      </c>
    </row>
    <row r="264" spans="1:5">
      <c r="A264" s="17" t="str">
        <f>"抗甲状腺过氧化物酶抗体"</f>
        <v>抗甲状腺过氧化物酶抗体</v>
      </c>
      <c r="B264" s="17">
        <v>70</v>
      </c>
      <c r="C264" s="17">
        <v>1</v>
      </c>
      <c r="D264" s="17" t="str">
        <f t="shared" ref="D264:D288" si="59">"项"</f>
        <v>项</v>
      </c>
      <c r="E264" s="17" t="str">
        <f>"检验费"</f>
        <v>检验费</v>
      </c>
    </row>
    <row r="265" spans="1:5">
      <c r="A265" s="17" t="str">
        <f>"甲型肝炎IgM抗体测定(Anti-HAV IgM)（酶免法、放免法)"</f>
        <v>甲型肝炎IgM抗体测定(Anti-HAV IgM)（酶免法、放免法)</v>
      </c>
      <c r="B265" s="17">
        <v>10</v>
      </c>
      <c r="C265" s="17" t="str">
        <f t="shared" ref="C264:C288" si="60">"项"</f>
        <v>项</v>
      </c>
      <c r="D265" s="17" t="str">
        <f t="shared" si="59"/>
        <v>项</v>
      </c>
      <c r="E265" s="17" t="str">
        <f>"检验费"</f>
        <v>检验费</v>
      </c>
    </row>
    <row r="266" spans="1:5">
      <c r="A266" s="17" t="str">
        <f>"乙型肝炎表面抗原测定(HBsAg)ELISA法"</f>
        <v>乙型肝炎表面抗原测定(HBsAg)ELISA法</v>
      </c>
      <c r="B266" s="17">
        <v>8</v>
      </c>
      <c r="C266" s="17" t="str">
        <f t="shared" si="60"/>
        <v>项</v>
      </c>
      <c r="D266" s="17" t="str">
        <f t="shared" si="59"/>
        <v>项</v>
      </c>
      <c r="E266" s="17" t="str">
        <f>"检验费"</f>
        <v>检验费</v>
      </c>
    </row>
    <row r="267" spans="1:5">
      <c r="A267" s="17" t="str">
        <f>"乙型肝炎表面抗原测定(HBsAg)（化学发光法、免疫荧光法）"</f>
        <v>乙型肝炎表面抗原测定(HBsAg)（化学发光法、免疫荧光法）</v>
      </c>
      <c r="B267" s="17">
        <v>25</v>
      </c>
      <c r="C267" s="17" t="str">
        <f t="shared" si="60"/>
        <v>项</v>
      </c>
      <c r="D267" s="17" t="str">
        <f t="shared" si="59"/>
        <v>项</v>
      </c>
      <c r="E267" s="17" t="str">
        <f>"检验费"</f>
        <v>检验费</v>
      </c>
    </row>
    <row r="268" spans="1:5">
      <c r="A268" s="17" t="str">
        <f>"乙型肝炎表面抗体测定(Anti-HBs)ELISA法"</f>
        <v>乙型肝炎表面抗体测定(Anti-HBs)ELISA法</v>
      </c>
      <c r="B268" s="17">
        <v>8</v>
      </c>
      <c r="C268" s="17" t="str">
        <f t="shared" si="60"/>
        <v>项</v>
      </c>
      <c r="D268" s="17" t="str">
        <f t="shared" si="59"/>
        <v>项</v>
      </c>
      <c r="E268" s="17" t="str">
        <f>"检验费"</f>
        <v>检验费</v>
      </c>
    </row>
    <row r="269" spans="1:5">
      <c r="A269" s="17" t="str">
        <f>"乙型肝炎表面抗体测定(Anti-HBs)化学发光法、免疫荧光法"</f>
        <v>乙型肝炎表面抗体测定(Anti-HBs)化学发光法、免疫荧光法</v>
      </c>
      <c r="B269" s="17">
        <v>25</v>
      </c>
      <c r="C269" s="17" t="str">
        <f t="shared" si="60"/>
        <v>项</v>
      </c>
      <c r="D269" s="17" t="str">
        <f t="shared" si="59"/>
        <v>项</v>
      </c>
      <c r="E269" s="17" t="str">
        <f>"检验费"</f>
        <v>检验费</v>
      </c>
    </row>
    <row r="270" spans="1:5">
      <c r="A270" s="17" t="str">
        <f>"乙型肝炎e抗原测定(HBeAg)（免疫学法）"</f>
        <v>乙型肝炎e抗原测定(HBeAg)（免疫学法）</v>
      </c>
      <c r="B270" s="17">
        <v>4</v>
      </c>
      <c r="C270" s="17" t="str">
        <f t="shared" si="60"/>
        <v>项</v>
      </c>
      <c r="D270" s="17" t="str">
        <f t="shared" si="59"/>
        <v>项</v>
      </c>
      <c r="E270" s="17" t="str">
        <f>"检验费"</f>
        <v>检验费</v>
      </c>
    </row>
    <row r="271" spans="1:5">
      <c r="A271" s="17" t="str">
        <f>"乙型肝炎e抗原测定(HBeAg)（化学发光法、免疫荧光法）"</f>
        <v>乙型肝炎e抗原测定(HBeAg)（化学发光法、免疫荧光法）</v>
      </c>
      <c r="B271" s="17">
        <v>25</v>
      </c>
      <c r="C271" s="17" t="str">
        <f t="shared" si="60"/>
        <v>项</v>
      </c>
      <c r="D271" s="17" t="str">
        <f t="shared" si="59"/>
        <v>项</v>
      </c>
      <c r="E271" s="17" t="str">
        <f>"检验费"</f>
        <v>检验费</v>
      </c>
    </row>
    <row r="272" spans="1:5">
      <c r="A272" s="17" t="str">
        <f>"乙型肝炎e抗体测定(Anti-HBe)免疫学法"</f>
        <v>乙型肝炎e抗体测定(Anti-HBe)免疫学法</v>
      </c>
      <c r="B272" s="17">
        <v>4</v>
      </c>
      <c r="C272" s="17" t="str">
        <f t="shared" si="60"/>
        <v>项</v>
      </c>
      <c r="D272" s="17" t="str">
        <f t="shared" si="59"/>
        <v>项</v>
      </c>
      <c r="E272" s="17" t="str">
        <f>"检验费"</f>
        <v>检验费</v>
      </c>
    </row>
    <row r="273" spans="1:5">
      <c r="A273" s="17" t="str">
        <f>"乙型肝炎e抗体测定(Anti-HBe)化学发光法、免疫荧光法"</f>
        <v>乙型肝炎e抗体测定(Anti-HBe)化学发光法、免疫荧光法</v>
      </c>
      <c r="B273" s="17">
        <v>20</v>
      </c>
      <c r="C273" s="17" t="str">
        <f t="shared" si="60"/>
        <v>项</v>
      </c>
      <c r="D273" s="17" t="str">
        <f t="shared" si="59"/>
        <v>项</v>
      </c>
      <c r="E273" s="17" t="str">
        <f>"检验费"</f>
        <v>检验费</v>
      </c>
    </row>
    <row r="274" spans="1:5">
      <c r="A274" s="17" t="str">
        <f>"乙型肝炎核心抗体测定(Anti-HBc)（ELISA法）"</f>
        <v>乙型肝炎核心抗体测定(Anti-HBc)（ELISA法）</v>
      </c>
      <c r="B274" s="17">
        <v>8</v>
      </c>
      <c r="C274" s="17" t="str">
        <f t="shared" si="60"/>
        <v>项</v>
      </c>
      <c r="D274" s="17" t="str">
        <f t="shared" si="59"/>
        <v>项</v>
      </c>
      <c r="E274" s="17" t="str">
        <f>"检验费"</f>
        <v>检验费</v>
      </c>
    </row>
    <row r="275" spans="1:5">
      <c r="A275" s="17" t="str">
        <f>"乙型肝炎核心抗体测定(Anti-HBc)化学发光法、免疫荧光法"</f>
        <v>乙型肝炎核心抗体测定(Anti-HBc)化学发光法、免疫荧光法</v>
      </c>
      <c r="B275" s="17">
        <v>20</v>
      </c>
      <c r="C275" s="17" t="str">
        <f t="shared" si="60"/>
        <v>项</v>
      </c>
      <c r="D275" s="17" t="str">
        <f t="shared" si="59"/>
        <v>项</v>
      </c>
      <c r="E275" s="17" t="str">
        <f>"检验费"</f>
        <v>检验费</v>
      </c>
    </row>
    <row r="276" spans="1:5">
      <c r="A276" s="17" t="str">
        <f>"丙型肝炎抗体测定(Anti-HCV)"</f>
        <v>丙型肝炎抗体测定(Anti-HCV)</v>
      </c>
      <c r="B276" s="17">
        <v>25</v>
      </c>
      <c r="C276" s="17" t="str">
        <f t="shared" si="60"/>
        <v>项</v>
      </c>
      <c r="D276" s="17" t="str">
        <f t="shared" si="59"/>
        <v>项</v>
      </c>
      <c r="E276" s="17" t="str">
        <f>"检验费"</f>
        <v>检验费</v>
      </c>
    </row>
    <row r="277" spans="1:5">
      <c r="A277" s="17" t="str">
        <f>"戊型肝炎抗体测定"</f>
        <v>戊型肝炎抗体测定</v>
      </c>
      <c r="B277" s="17">
        <v>30</v>
      </c>
      <c r="C277" s="17" t="str">
        <f>"项"</f>
        <v>项</v>
      </c>
      <c r="D277" s="17" t="str">
        <f>"项"</f>
        <v>项</v>
      </c>
      <c r="E277" s="17" t="str">
        <f>"检验费"</f>
        <v>检验费</v>
      </c>
    </row>
    <row r="278" spans="1:5">
      <c r="A278" s="17" t="str">
        <f>"人免疫缺陷病毒抗体测定(Anti-HIV)"</f>
        <v>人免疫缺陷病毒抗体测定(Anti-HIV)</v>
      </c>
      <c r="B278" s="17">
        <v>35</v>
      </c>
      <c r="C278" s="17" t="str">
        <f>"项"</f>
        <v>项</v>
      </c>
      <c r="D278" s="17" t="str">
        <f>"项"</f>
        <v>项</v>
      </c>
      <c r="E278" s="17" t="str">
        <f>"检验费"</f>
        <v>检验费</v>
      </c>
    </row>
    <row r="279" spans="1:5">
      <c r="A279" s="19" t="str">
        <f>"弓形体抗体测定"</f>
        <v>弓形体抗体测定</v>
      </c>
      <c r="B279" s="19">
        <v>85</v>
      </c>
      <c r="C279" s="19" t="str">
        <f>"项"</f>
        <v>项</v>
      </c>
      <c r="D279" s="19" t="str">
        <f>"项"</f>
        <v>项</v>
      </c>
      <c r="E279" s="19" t="str">
        <f>"检验费"</f>
        <v>检验费</v>
      </c>
    </row>
    <row r="280" spans="1:5">
      <c r="A280" s="19" t="str">
        <f>"风疹病毒抗体测定"</f>
        <v>风疹病毒抗体测定</v>
      </c>
      <c r="B280" s="19">
        <v>85</v>
      </c>
      <c r="C280" s="19" t="str">
        <f>"项"</f>
        <v>项</v>
      </c>
      <c r="D280" s="19" t="str">
        <f>"项"</f>
        <v>项</v>
      </c>
      <c r="E280" s="19" t="str">
        <f>"检验费"</f>
        <v>检验费</v>
      </c>
    </row>
    <row r="281" spans="1:5">
      <c r="A281" s="19" t="str">
        <f>"巨细胞病毒抗体测定（化学发光法、免疫荧光法）"</f>
        <v>巨细胞病毒抗体测定（化学发光法、免疫荧光法）</v>
      </c>
      <c r="B281" s="19">
        <v>80</v>
      </c>
      <c r="C281" s="19" t="str">
        <f>"项"</f>
        <v>项</v>
      </c>
      <c r="D281" s="19" t="str">
        <f>"项"</f>
        <v>项</v>
      </c>
      <c r="E281" s="19" t="str">
        <f>"检验费"</f>
        <v>检验费</v>
      </c>
    </row>
    <row r="282" spans="1:5">
      <c r="A282" s="19" t="str">
        <f>"单纯疱疹病毒抗体测定"</f>
        <v>单纯疱疹病毒抗体测定</v>
      </c>
      <c r="B282" s="19">
        <v>25</v>
      </c>
      <c r="C282" s="19" t="str">
        <f>"项"</f>
        <v>项</v>
      </c>
      <c r="D282" s="19" t="str">
        <f>"项"</f>
        <v>项</v>
      </c>
      <c r="E282" s="19" t="str">
        <f>"检验费"</f>
        <v>检验费</v>
      </c>
    </row>
    <row r="283" spans="1:5">
      <c r="A283" s="17" t="str">
        <f>"呼吸道合胞病毒抗体测定"</f>
        <v>呼吸道合胞病毒抗体测定</v>
      </c>
      <c r="B283" s="17">
        <v>20</v>
      </c>
      <c r="C283" s="17" t="str">
        <f>"项"</f>
        <v>项</v>
      </c>
      <c r="D283" s="17" t="str">
        <f>"项"</f>
        <v>项</v>
      </c>
      <c r="E283" s="17" t="str">
        <f>"检验费"</f>
        <v>检验费</v>
      </c>
    </row>
    <row r="284" spans="1:5">
      <c r="A284" s="17" t="str">
        <f>"副流感病毒抗体测定"</f>
        <v>副流感病毒抗体测定</v>
      </c>
      <c r="B284" s="17">
        <v>20</v>
      </c>
      <c r="C284" s="17" t="str">
        <f>"项"</f>
        <v>项</v>
      </c>
      <c r="D284" s="17" t="str">
        <f>"项"</f>
        <v>项</v>
      </c>
      <c r="E284" s="17" t="str">
        <f>"检验费"</f>
        <v>检验费</v>
      </c>
    </row>
    <row r="285" spans="1:5">
      <c r="A285" s="17" t="str">
        <f>"病毒血清学试验"</f>
        <v>病毒血清学试验</v>
      </c>
      <c r="B285" s="17">
        <v>25</v>
      </c>
      <c r="C285" s="17" t="str">
        <f>"项"</f>
        <v>项</v>
      </c>
      <c r="D285" s="17" t="str">
        <f>"项"</f>
        <v>项</v>
      </c>
      <c r="E285" s="17" t="str">
        <f>"检验费"</f>
        <v>检验费</v>
      </c>
    </row>
    <row r="286" spans="1:5">
      <c r="A286" s="17" t="str">
        <f>"病毒血清学测试（柯萨奇病毒）"</f>
        <v>病毒血清学测试（柯萨奇病毒）</v>
      </c>
      <c r="B286" s="17">
        <v>25</v>
      </c>
      <c r="C286" s="17" t="str">
        <f>"次"</f>
        <v>次</v>
      </c>
      <c r="D286" s="17" t="str">
        <f>"次"</f>
        <v>次</v>
      </c>
      <c r="E286" s="17" t="str">
        <f>"检验费"</f>
        <v>检验费</v>
      </c>
    </row>
    <row r="287" spans="1:5">
      <c r="A287" s="17" t="str">
        <f>"抗链球菌溶血素O测定(ASO)（免疫法）"</f>
        <v>抗链球菌溶血素O测定(ASO)（免疫法）</v>
      </c>
      <c r="B287" s="17">
        <v>30</v>
      </c>
      <c r="C287" s="17" t="str">
        <f>"-"</f>
        <v>-</v>
      </c>
      <c r="D287" s="17" t="str">
        <f>"项"</f>
        <v>项</v>
      </c>
      <c r="E287" s="17" t="str">
        <f>"检验费"</f>
        <v>检验费</v>
      </c>
    </row>
    <row r="288" spans="1:5">
      <c r="A288" s="17" t="str">
        <f>"梅毒螺旋体特异抗体测定（凝集法）"</f>
        <v>梅毒螺旋体特异抗体测定（凝集法）</v>
      </c>
      <c r="B288" s="17">
        <v>20</v>
      </c>
      <c r="C288" s="17" t="str">
        <f>"项"</f>
        <v>项</v>
      </c>
      <c r="D288" s="17" t="str">
        <f>"项"</f>
        <v>项</v>
      </c>
      <c r="E288" s="17" t="str">
        <f>"检验费"</f>
        <v>检验费</v>
      </c>
    </row>
    <row r="289" spans="1:5">
      <c r="A289" s="17" t="str">
        <f>"各类病原体DNA测定(含乙肝、丙肝）"</f>
        <v>各类病原体DNA测定(含乙肝、丙肝）</v>
      </c>
      <c r="B289" s="17">
        <v>150</v>
      </c>
      <c r="C289" s="17" t="str">
        <f>"项"</f>
        <v>项</v>
      </c>
      <c r="D289" s="17" t="str">
        <f>"项"</f>
        <v>项</v>
      </c>
      <c r="E289" s="17" t="str">
        <f>"检验费"</f>
        <v>检验费</v>
      </c>
    </row>
    <row r="290" spans="1:5">
      <c r="A290" s="17" t="str">
        <f>"13碳尿素呼气试验"</f>
        <v>13碳尿素呼气试验</v>
      </c>
      <c r="B290" s="17">
        <v>150</v>
      </c>
      <c r="C290" s="17" t="str">
        <f>"次"</f>
        <v>次</v>
      </c>
      <c r="D290" s="17" t="str">
        <f>"次"</f>
        <v>次</v>
      </c>
      <c r="E290" s="17" t="str">
        <f>"检验费"</f>
        <v>检验费</v>
      </c>
    </row>
    <row r="291" spans="1:5">
      <c r="A291" s="17" t="str">
        <f>"呼吸道感染病原体IgM抗体检测"</f>
        <v>呼吸道感染病原体IgM抗体检测</v>
      </c>
      <c r="B291" s="17">
        <v>45</v>
      </c>
      <c r="C291" s="17" t="str">
        <f>"项"</f>
        <v>项</v>
      </c>
      <c r="D291" s="17" t="str">
        <f>"项"</f>
        <v>项</v>
      </c>
      <c r="E291" s="17" t="str">
        <f>"检验费"</f>
        <v>检验费</v>
      </c>
    </row>
    <row r="292" spans="1:5">
      <c r="A292" s="17" t="str">
        <f>"癌胚抗原测定(CEA)各种免疫学方法"</f>
        <v>癌胚抗原测定(CEA)各种免疫学方法</v>
      </c>
      <c r="B292" s="17">
        <v>15</v>
      </c>
      <c r="C292" s="17" t="str">
        <f t="shared" ref="C292:C299" si="61">"项"</f>
        <v>项</v>
      </c>
      <c r="D292" s="17" t="str">
        <f t="shared" ref="D292:D299" si="62">"项"</f>
        <v>项</v>
      </c>
      <c r="E292" s="17" t="str">
        <f t="shared" ref="E292:E302" si="63">"检验费"</f>
        <v>检验费</v>
      </c>
    </row>
    <row r="293" spans="1:5">
      <c r="A293" s="17" t="str">
        <f>"(CEA)癌胚抗原测定"</f>
        <v>(CEA)癌胚抗原测定</v>
      </c>
      <c r="B293" s="17">
        <v>35</v>
      </c>
      <c r="C293" s="17" t="str">
        <f t="shared" si="61"/>
        <v>项</v>
      </c>
      <c r="D293" s="17" t="str">
        <f t="shared" si="62"/>
        <v>项</v>
      </c>
      <c r="E293" s="17" t="str">
        <f t="shared" si="63"/>
        <v>检验费</v>
      </c>
    </row>
    <row r="294" spans="1:5">
      <c r="A294" s="17" t="str">
        <f>"甲胎蛋白测定(AFP)各种免疫学方法"</f>
        <v>甲胎蛋白测定(AFP)各种免疫学方法</v>
      </c>
      <c r="B294" s="17">
        <v>15</v>
      </c>
      <c r="C294" s="17" t="str">
        <f t="shared" si="61"/>
        <v>项</v>
      </c>
      <c r="D294" s="17" t="str">
        <f t="shared" si="62"/>
        <v>项</v>
      </c>
      <c r="E294" s="17" t="str">
        <f t="shared" si="63"/>
        <v>检验费</v>
      </c>
    </row>
    <row r="295" spans="1:5">
      <c r="A295" s="17" t="str">
        <f>"(AFP)甲胎蛋白测定"</f>
        <v>(AFP)甲胎蛋白测定</v>
      </c>
      <c r="B295" s="17">
        <v>35</v>
      </c>
      <c r="C295" s="17" t="str">
        <f t="shared" si="61"/>
        <v>项</v>
      </c>
      <c r="D295" s="17" t="str">
        <f t="shared" si="62"/>
        <v>项</v>
      </c>
      <c r="E295" s="17" t="str">
        <f t="shared" si="63"/>
        <v>检验费</v>
      </c>
    </row>
    <row r="296" spans="1:5">
      <c r="A296" s="17" t="str">
        <f>"总前列腺特异性抗原测定(TPSA)"</f>
        <v>总前列腺特异性抗原测定(TPSA)</v>
      </c>
      <c r="B296" s="17">
        <v>50</v>
      </c>
      <c r="C296" s="17" t="str">
        <f t="shared" si="61"/>
        <v>项</v>
      </c>
      <c r="D296" s="17" t="str">
        <f t="shared" si="62"/>
        <v>项</v>
      </c>
      <c r="E296" s="17" t="str">
        <f t="shared" si="63"/>
        <v>检验费</v>
      </c>
    </row>
    <row r="297" spans="1:5">
      <c r="A297" s="17" t="str">
        <f>"游离前列腺特异性抗原测定(FPSA)"</f>
        <v>游离前列腺特异性抗原测定(FPSA)</v>
      </c>
      <c r="B297" s="17">
        <v>50</v>
      </c>
      <c r="C297" s="17" t="str">
        <f t="shared" si="61"/>
        <v>项</v>
      </c>
      <c r="D297" s="17" t="str">
        <f t="shared" si="62"/>
        <v>项</v>
      </c>
      <c r="E297" s="17" t="str">
        <f t="shared" si="63"/>
        <v>检验费</v>
      </c>
    </row>
    <row r="298" spans="1:5">
      <c r="A298" s="17" t="str">
        <f>"前列腺酸性磷酸酶测定(PAP)"</f>
        <v>前列腺酸性磷酸酶测定(PAP)</v>
      </c>
      <c r="B298" s="17">
        <v>65</v>
      </c>
      <c r="C298" s="17" t="str">
        <f t="shared" si="61"/>
        <v>项</v>
      </c>
      <c r="D298" s="17" t="str">
        <f t="shared" si="62"/>
        <v>项</v>
      </c>
      <c r="E298" s="17" t="str">
        <f t="shared" si="63"/>
        <v>检验费</v>
      </c>
    </row>
    <row r="299" spans="1:5">
      <c r="A299" s="17" t="str">
        <f>"神经元特异性烯醇化酶测定(NSE)"</f>
        <v>神经元特异性烯醇化酶测定(NSE)</v>
      </c>
      <c r="B299" s="17">
        <v>50</v>
      </c>
      <c r="C299" s="17" t="str">
        <f t="shared" si="61"/>
        <v>项</v>
      </c>
      <c r="D299" s="17" t="str">
        <f t="shared" si="62"/>
        <v>项</v>
      </c>
      <c r="E299" s="17" t="str">
        <f t="shared" si="63"/>
        <v>检验费</v>
      </c>
    </row>
    <row r="300" spans="1:5">
      <c r="A300" s="17" t="str">
        <f>"细胞角蛋白19片段测定(CYFRA21-1)（化学发光法、荧光免疫法）"</f>
        <v>细胞角蛋白19片段测定(CYFRA21-1)（化学发光法、荧光免疫法）</v>
      </c>
      <c r="B300" s="17">
        <v>50</v>
      </c>
      <c r="C300" s="17" t="str">
        <f>"-"</f>
        <v>-</v>
      </c>
      <c r="D300" s="17" t="str">
        <f>"次"</f>
        <v>次</v>
      </c>
      <c r="E300" s="17" t="str">
        <f t="shared" si="63"/>
        <v>检验费</v>
      </c>
    </row>
    <row r="301" spans="1:5">
      <c r="A301" s="17" t="str">
        <f>"糖类抗原测定CA125(化学发光法、荧光免疫法)"</f>
        <v>糖类抗原测定CA125(化学发光法、荧光免疫法)</v>
      </c>
      <c r="B301" s="17">
        <v>50</v>
      </c>
      <c r="C301" s="17" t="str">
        <f t="shared" ref="C301:C304" si="64">"项"</f>
        <v>项</v>
      </c>
      <c r="D301" s="17" t="str">
        <f t="shared" ref="D301:D304" si="65">"项"</f>
        <v>项</v>
      </c>
      <c r="E301" s="17" t="str">
        <f t="shared" si="63"/>
        <v>检验费</v>
      </c>
    </row>
    <row r="302" spans="1:5">
      <c r="A302" s="17" t="str">
        <f>"糖类抗原测定CA19-9(化学发光法、荧光免疫法)"</f>
        <v>糖类抗原测定CA19-9(化学发光法、荧光免疫法)</v>
      </c>
      <c r="B302" s="17">
        <v>50</v>
      </c>
      <c r="C302" s="17" t="str">
        <f t="shared" si="64"/>
        <v>项</v>
      </c>
      <c r="D302" s="17" t="str">
        <f t="shared" si="65"/>
        <v>项</v>
      </c>
      <c r="E302" s="17" t="str">
        <f t="shared" si="63"/>
        <v>检验费</v>
      </c>
    </row>
    <row r="303" spans="1:5">
      <c r="A303" s="17" t="str">
        <f>"糖类抗原测定CA15-3(化学发光法、荧光免疫法)"</f>
        <v>糖类抗原测定CA15-3(化学发光法、荧光免疫法)</v>
      </c>
      <c r="B303" s="17">
        <v>50</v>
      </c>
      <c r="C303" s="17" t="str">
        <f t="shared" si="64"/>
        <v>项</v>
      </c>
      <c r="D303" s="17" t="str">
        <f t="shared" si="65"/>
        <v>项</v>
      </c>
      <c r="E303" s="17" t="str">
        <f>"检验费"</f>
        <v>检验费</v>
      </c>
    </row>
    <row r="304" spans="1:5">
      <c r="A304" s="17" t="str">
        <f>"糖类抗原测定CA72-4(化学发光法、荧光免疫法)"</f>
        <v>糖类抗原测定CA72-4(化学发光法、荧光免疫法)</v>
      </c>
      <c r="B304" s="17">
        <v>50</v>
      </c>
      <c r="C304" s="17" t="str">
        <f t="shared" si="64"/>
        <v>项</v>
      </c>
      <c r="D304" s="17" t="str">
        <f t="shared" si="65"/>
        <v>项</v>
      </c>
      <c r="E304" s="17" t="str">
        <f>"检验费"</f>
        <v>检验费</v>
      </c>
    </row>
    <row r="305" spans="1:5">
      <c r="A305" s="17" t="str">
        <f>"糖类抗原测定CA24-2(化学发光法、荧光免疫法)"</f>
        <v>糖类抗原测定CA24-2(化学发光法、荧光免疫法)</v>
      </c>
      <c r="B305" s="17">
        <v>50</v>
      </c>
      <c r="C305" s="17" t="str">
        <f>"/"</f>
        <v>/</v>
      </c>
      <c r="D305" s="17" t="str">
        <f t="shared" ref="D305:D310" si="66">"次"</f>
        <v>次</v>
      </c>
      <c r="E305" s="17" t="str">
        <f>"检验费"</f>
        <v>检验费</v>
      </c>
    </row>
    <row r="306" spans="1:5">
      <c r="A306" s="17" t="str">
        <f>"糖类抗原测定CA-50(化学发光法、荧光免疫法)"</f>
        <v>糖类抗原测定CA-50(化学发光法、荧光免疫法)</v>
      </c>
      <c r="B306" s="17">
        <v>50</v>
      </c>
      <c r="C306" s="17" t="str">
        <f>"/"</f>
        <v>/</v>
      </c>
      <c r="D306" s="17" t="str">
        <f t="shared" si="66"/>
        <v>次</v>
      </c>
      <c r="E306" s="17" t="str">
        <f>"检验费"</f>
        <v>检验费</v>
      </c>
    </row>
    <row r="307" spans="1:5">
      <c r="A307" s="17" t="str">
        <f>"鳞状细胞癌相关抗原测定"</f>
        <v>鳞状细胞癌相关抗原测定</v>
      </c>
      <c r="B307" s="17">
        <v>50</v>
      </c>
      <c r="C307" s="17">
        <v>1</v>
      </c>
      <c r="D307" s="17" t="str">
        <f>"项"</f>
        <v>项</v>
      </c>
      <c r="E307" s="17" t="str">
        <f>"检验费"</f>
        <v>检验费</v>
      </c>
    </row>
    <row r="308" spans="1:5">
      <c r="A308" s="17" t="str">
        <f>"铁蛋白测定各种发光法，定量测定"</f>
        <v>铁蛋白测定各种发光法，定量测定</v>
      </c>
      <c r="B308" s="17">
        <v>34</v>
      </c>
      <c r="C308" s="17" t="str">
        <f>"项"</f>
        <v>项</v>
      </c>
      <c r="D308" s="17" t="str">
        <f>"项"</f>
        <v>项</v>
      </c>
      <c r="E308" s="17" t="str">
        <f>"检验费"</f>
        <v>检验费</v>
      </c>
    </row>
    <row r="309" spans="1:5">
      <c r="A309" s="17" t="str">
        <f>"血清胃蛋白酶原Ⅰ测定(PGⅠ)"</f>
        <v>血清胃蛋白酶原Ⅰ测定(PGⅠ)</v>
      </c>
      <c r="B309" s="17">
        <v>70</v>
      </c>
      <c r="C309" s="17" t="str">
        <f>"次"</f>
        <v>次</v>
      </c>
      <c r="D309" s="17" t="str">
        <f t="shared" si="66"/>
        <v>次</v>
      </c>
      <c r="E309" s="17" t="str">
        <f>"检验费"</f>
        <v>检验费</v>
      </c>
    </row>
    <row r="310" spans="1:5">
      <c r="A310" s="17" t="str">
        <f>"血清胃蛋白酶原Ⅱ测定(PGⅡ)"</f>
        <v>血清胃蛋白酶原Ⅱ测定(PGⅡ)</v>
      </c>
      <c r="B310" s="17">
        <v>70</v>
      </c>
      <c r="C310" s="17" t="str">
        <f>"次"</f>
        <v>次</v>
      </c>
      <c r="D310" s="17" t="str">
        <f t="shared" si="66"/>
        <v>次</v>
      </c>
      <c r="E310" s="17" t="str">
        <f>"检验费"</f>
        <v>检验费</v>
      </c>
    </row>
    <row r="311" spans="1:5">
      <c r="A311" s="17" t="str">
        <f>"食入物变应原筛查"</f>
        <v>食入物变应原筛查</v>
      </c>
      <c r="B311" s="17">
        <v>30</v>
      </c>
      <c r="C311" s="17" t="str">
        <f>"项"</f>
        <v>项</v>
      </c>
      <c r="D311" s="17" t="str">
        <f>"项"</f>
        <v>项</v>
      </c>
      <c r="E311" s="17" t="str">
        <f>"检验费"</f>
        <v>检验费</v>
      </c>
    </row>
    <row r="312" spans="1:5">
      <c r="A312" s="17" t="str">
        <f>"ABO.RHD血型鉴定"</f>
        <v>ABO.RHD血型鉴定</v>
      </c>
      <c r="B312" s="17">
        <v>65</v>
      </c>
      <c r="C312" s="17" t="str">
        <f>"项"</f>
        <v>项</v>
      </c>
      <c r="D312" s="17" t="str">
        <f>"每次"</f>
        <v>每次</v>
      </c>
      <c r="E312" s="17" t="str">
        <f>"检验费"</f>
        <v>检验费</v>
      </c>
    </row>
    <row r="313" spans="1:5">
      <c r="A313" s="17" t="str">
        <f>"人免疫缺陷病毒抗体测定(Anti-HIV)（减免）"</f>
        <v>人免疫缺陷病毒抗体测定(Anti-HIV)（减免）</v>
      </c>
      <c r="B313" s="20" t="str">
        <f t="shared" ref="B313:B330" si="67">"0"</f>
        <v>0</v>
      </c>
      <c r="C313" s="17" t="str">
        <f>"次"</f>
        <v>次</v>
      </c>
      <c r="D313" s="17" t="str">
        <f t="shared" ref="D313:D333" si="68">"项"</f>
        <v>项</v>
      </c>
      <c r="E313" s="17" t="str">
        <f t="shared" ref="E313:E334" si="69">"检验费"</f>
        <v>检验费</v>
      </c>
    </row>
    <row r="314" spans="1:5">
      <c r="A314" s="17" t="str">
        <f>"快速血浆反应素试验(RPR)（减免）"</f>
        <v>快速血浆反应素试验(RPR)（减免）</v>
      </c>
      <c r="B314" s="20" t="str">
        <f t="shared" si="67"/>
        <v>0</v>
      </c>
      <c r="C314" s="17" t="str">
        <f>"次"</f>
        <v>次</v>
      </c>
      <c r="D314" s="17" t="str">
        <f t="shared" si="68"/>
        <v>项</v>
      </c>
      <c r="E314" s="17" t="str">
        <f t="shared" si="69"/>
        <v>检验费</v>
      </c>
    </row>
    <row r="315" spans="1:5">
      <c r="A315" s="17" t="str">
        <f>"血细胞分析(五分类)(免费)"</f>
        <v>血细胞分析(五分类)(免费)</v>
      </c>
      <c r="B315" s="20" t="str">
        <f t="shared" si="67"/>
        <v>0</v>
      </c>
      <c r="C315" s="17" t="str">
        <f t="shared" ref="C315:C333" si="70">"项"</f>
        <v>项</v>
      </c>
      <c r="D315" s="17" t="str">
        <f t="shared" si="68"/>
        <v>项</v>
      </c>
      <c r="E315" s="17" t="str">
        <f t="shared" si="69"/>
        <v>检验费</v>
      </c>
    </row>
    <row r="316" spans="1:5">
      <c r="A316" s="17" t="str">
        <f>"尿液分析(使用抗维生C试剂条加收)(免费)"</f>
        <v>尿液分析(使用抗维生C试剂条加收)(免费)</v>
      </c>
      <c r="B316" s="20" t="str">
        <f t="shared" si="67"/>
        <v>0</v>
      </c>
      <c r="C316" s="17" t="str">
        <f t="shared" si="70"/>
        <v>项</v>
      </c>
      <c r="D316" s="17" t="str">
        <f t="shared" si="68"/>
        <v>项</v>
      </c>
      <c r="E316" s="17" t="str">
        <f t="shared" si="69"/>
        <v>检验费</v>
      </c>
    </row>
    <row r="317" spans="1:5">
      <c r="A317" s="17" t="str">
        <f>"血清白蛋白测定（免费）"</f>
        <v>血清白蛋白测定（免费）</v>
      </c>
      <c r="B317" s="20" t="str">
        <f t="shared" si="67"/>
        <v>0</v>
      </c>
      <c r="C317" s="17" t="str">
        <f t="shared" si="70"/>
        <v>项</v>
      </c>
      <c r="D317" s="17" t="str">
        <f t="shared" si="68"/>
        <v>项</v>
      </c>
      <c r="E317" s="17" t="str">
        <f t="shared" si="69"/>
        <v>检验费</v>
      </c>
    </row>
    <row r="318" spans="1:5">
      <c r="A318" s="17" t="str">
        <f>"血清总胆红素测定（免费）"</f>
        <v>血清总胆红素测定（免费）</v>
      </c>
      <c r="B318" s="20" t="str">
        <f t="shared" si="67"/>
        <v>0</v>
      </c>
      <c r="C318" s="17" t="str">
        <f t="shared" si="70"/>
        <v>项</v>
      </c>
      <c r="D318" s="17" t="str">
        <f t="shared" si="68"/>
        <v>项</v>
      </c>
      <c r="E318" s="17" t="str">
        <f t="shared" si="69"/>
        <v>检验费</v>
      </c>
    </row>
    <row r="319" spans="1:5">
      <c r="A319" s="17" t="str">
        <f>"血清直接胆红素测定（免费）"</f>
        <v>血清直接胆红素测定（免费）</v>
      </c>
      <c r="B319" s="20" t="str">
        <f t="shared" si="67"/>
        <v>0</v>
      </c>
      <c r="C319" s="17" t="str">
        <f t="shared" si="70"/>
        <v>项</v>
      </c>
      <c r="D319" s="17" t="str">
        <f t="shared" si="68"/>
        <v>项</v>
      </c>
      <c r="E319" s="17" t="str">
        <f t="shared" si="69"/>
        <v>检验费</v>
      </c>
    </row>
    <row r="320" spans="1:5">
      <c r="A320" s="17" t="str">
        <f>"血清丙氨酸氨基转移酶测定（免费）"</f>
        <v>血清丙氨酸氨基转移酶测定（免费）</v>
      </c>
      <c r="B320" s="20" t="str">
        <f t="shared" si="67"/>
        <v>0</v>
      </c>
      <c r="C320" s="17" t="str">
        <f t="shared" si="70"/>
        <v>项</v>
      </c>
      <c r="D320" s="17" t="str">
        <f t="shared" si="68"/>
        <v>项</v>
      </c>
      <c r="E320" s="17" t="str">
        <f t="shared" si="69"/>
        <v>检验费</v>
      </c>
    </row>
    <row r="321" spans="1:5">
      <c r="A321" s="17" t="str">
        <f>"血清天门冬氨酸基转移酶测定（免费）"</f>
        <v>血清天门冬氨酸基转移酶测定（免费）</v>
      </c>
      <c r="B321" s="20" t="str">
        <f t="shared" si="67"/>
        <v>0</v>
      </c>
      <c r="C321" s="17" t="str">
        <f t="shared" si="70"/>
        <v>项</v>
      </c>
      <c r="D321" s="17" t="str">
        <f t="shared" si="68"/>
        <v>项</v>
      </c>
      <c r="E321" s="17" t="str">
        <f t="shared" si="69"/>
        <v>检验费</v>
      </c>
    </row>
    <row r="322" spans="1:5">
      <c r="A322" s="17" t="str">
        <f>"尿素测定（免费）"</f>
        <v>尿素测定（免费）</v>
      </c>
      <c r="B322" s="20" t="str">
        <f t="shared" si="67"/>
        <v>0</v>
      </c>
      <c r="C322" s="17" t="str">
        <f t="shared" si="70"/>
        <v>项</v>
      </c>
      <c r="D322" s="17" t="str">
        <f t="shared" si="68"/>
        <v>项</v>
      </c>
      <c r="E322" s="17" t="str">
        <f t="shared" si="69"/>
        <v>检验费</v>
      </c>
    </row>
    <row r="323" spans="1:5">
      <c r="A323" s="17" t="str">
        <f>"肌酐测定（免费）"</f>
        <v>肌酐测定（免费）</v>
      </c>
      <c r="B323" s="20" t="str">
        <f t="shared" si="67"/>
        <v>0</v>
      </c>
      <c r="C323" s="17" t="str">
        <f t="shared" si="70"/>
        <v>项</v>
      </c>
      <c r="D323" s="17" t="str">
        <f t="shared" si="68"/>
        <v>项</v>
      </c>
      <c r="E323" s="17" t="str">
        <f t="shared" si="69"/>
        <v>检验费</v>
      </c>
    </row>
    <row r="324" spans="1:5">
      <c r="A324" s="17" t="str">
        <f>"乙型肝炎表面抗体测定(Anti-HBs)（免费）"</f>
        <v>乙型肝炎表面抗体测定(Anti-HBs)（免费）</v>
      </c>
      <c r="B324" s="20" t="str">
        <f t="shared" si="67"/>
        <v>0</v>
      </c>
      <c r="C324" s="17" t="str">
        <f t="shared" si="70"/>
        <v>项</v>
      </c>
      <c r="D324" s="17" t="str">
        <f t="shared" si="68"/>
        <v>项</v>
      </c>
      <c r="E324" s="17" t="str">
        <f t="shared" si="69"/>
        <v>检验费</v>
      </c>
    </row>
    <row r="325" spans="1:5">
      <c r="A325" s="17" t="str">
        <f>"乙型肝炎e抗体测定(HBeAg)"</f>
        <v>乙型肝炎e抗体测定(HBeAg)</v>
      </c>
      <c r="B325" s="20" t="str">
        <f t="shared" si="67"/>
        <v>0</v>
      </c>
      <c r="C325" s="17" t="str">
        <f t="shared" si="70"/>
        <v>项</v>
      </c>
      <c r="D325" s="17" t="str">
        <f t="shared" si="68"/>
        <v>项</v>
      </c>
      <c r="E325" s="17" t="str">
        <f t="shared" si="69"/>
        <v>检验费</v>
      </c>
    </row>
    <row r="326" spans="1:5">
      <c r="A326" s="17" t="str">
        <f>"乙型肝炎e抗体测定(Anti-HBe)（免费）"</f>
        <v>乙型肝炎e抗体测定(Anti-HBe)（免费）</v>
      </c>
      <c r="B326" s="20" t="str">
        <f t="shared" si="67"/>
        <v>0</v>
      </c>
      <c r="C326" s="17" t="str">
        <f t="shared" si="70"/>
        <v>项</v>
      </c>
      <c r="D326" s="17" t="str">
        <f t="shared" si="68"/>
        <v>项</v>
      </c>
      <c r="E326" s="17" t="str">
        <f t="shared" si="69"/>
        <v>检验费</v>
      </c>
    </row>
    <row r="327" spans="1:5">
      <c r="A327" s="17" t="str">
        <f>"乙型肝炎核心抗体测定(Anti）(免费)"</f>
        <v>乙型肝炎核心抗体测定(Anti）(免费)</v>
      </c>
      <c r="B327" s="20" t="str">
        <f t="shared" si="67"/>
        <v>0</v>
      </c>
      <c r="C327" s="17" t="str">
        <f t="shared" si="70"/>
        <v>项</v>
      </c>
      <c r="D327" s="17" t="str">
        <f t="shared" si="68"/>
        <v>项</v>
      </c>
      <c r="E327" s="17" t="str">
        <f t="shared" si="69"/>
        <v>检验费</v>
      </c>
    </row>
    <row r="328" spans="1:5">
      <c r="A328" s="17" t="str">
        <f>"乙型肝炎表面抗原测定(HBsAg)ELISA法（妇科减免）"</f>
        <v>乙型肝炎表面抗原测定(HBsAg)ELISA法（妇科减免）</v>
      </c>
      <c r="B328" s="20" t="str">
        <f t="shared" si="67"/>
        <v>0</v>
      </c>
      <c r="C328" s="17" t="str">
        <f t="shared" si="70"/>
        <v>项</v>
      </c>
      <c r="D328" s="17" t="str">
        <f t="shared" si="68"/>
        <v>项</v>
      </c>
      <c r="E328" s="17" t="str">
        <f t="shared" si="69"/>
        <v>检验费</v>
      </c>
    </row>
    <row r="329" spans="1:5">
      <c r="A329" s="17" t="str">
        <f>"乙型肝炎e抗原测定(HBeAg)（免疫学法）（妇科减免）"</f>
        <v>乙型肝炎e抗原测定(HBeAg)（免疫学法）（妇科减免）</v>
      </c>
      <c r="B329" s="20" t="str">
        <f t="shared" si="67"/>
        <v>0</v>
      </c>
      <c r="C329" s="17" t="str">
        <f t="shared" si="70"/>
        <v>项</v>
      </c>
      <c r="D329" s="17" t="str">
        <f t="shared" si="68"/>
        <v>项</v>
      </c>
      <c r="E329" s="17" t="str">
        <f t="shared" si="69"/>
        <v>检验费</v>
      </c>
    </row>
    <row r="330" spans="1:5">
      <c r="A330" s="17" t="str">
        <f>"乙型肝炎e抗体测定(Anti-HBe)免疫学法（妇科减免）"</f>
        <v>乙型肝炎e抗体测定(Anti-HBe)免疫学法（妇科减免）</v>
      </c>
      <c r="B330" s="20" t="str">
        <f t="shared" si="67"/>
        <v>0</v>
      </c>
      <c r="C330" s="17" t="str">
        <f t="shared" si="70"/>
        <v>项</v>
      </c>
      <c r="D330" s="17" t="str">
        <f t="shared" si="68"/>
        <v>项</v>
      </c>
      <c r="E330" s="17" t="str">
        <f t="shared" si="69"/>
        <v>检验费</v>
      </c>
    </row>
    <row r="331" spans="1:5">
      <c r="A331" s="17" t="str">
        <f>"尿液分析（妇儿保专用）"</f>
        <v>尿液分析（妇儿保专用）</v>
      </c>
      <c r="B331" s="20" t="str">
        <f>"0"</f>
        <v>0</v>
      </c>
      <c r="C331" s="17" t="str">
        <f>"项"</f>
        <v>项</v>
      </c>
      <c r="D331" s="17" t="str">
        <f>"项"</f>
        <v>项</v>
      </c>
      <c r="E331" s="17" t="str">
        <f>"检验费"</f>
        <v>检验费</v>
      </c>
    </row>
    <row r="332" spans="1:5">
      <c r="A332" s="17" t="str">
        <f>"结合胆红素"</f>
        <v>结合胆红素</v>
      </c>
      <c r="B332" s="20" t="str">
        <f>"0"</f>
        <v>0</v>
      </c>
      <c r="C332" s="17" t="str">
        <f>"项"</f>
        <v>项</v>
      </c>
      <c r="D332" s="17" t="str">
        <f>"项"</f>
        <v>项</v>
      </c>
      <c r="E332" s="17" t="str">
        <f>"检验费"</f>
        <v>检验费</v>
      </c>
    </row>
    <row r="333" spans="1:5">
      <c r="A333" s="17" t="str">
        <f>"葡萄糖测定（免费）"</f>
        <v>葡萄糖测定（免费）</v>
      </c>
      <c r="B333" s="20" t="str">
        <f>"0"</f>
        <v>0</v>
      </c>
      <c r="C333" s="17" t="str">
        <f>"次"</f>
        <v>次</v>
      </c>
      <c r="D333" s="17" t="str">
        <f>"次"</f>
        <v>次</v>
      </c>
      <c r="E333" s="17" t="str">
        <f>"检验费"</f>
        <v>检验费</v>
      </c>
    </row>
    <row r="334" spans="1:5">
      <c r="A334" s="17" t="str">
        <f>"ABO血型鉴定(体检签约优惠)"</f>
        <v>ABO血型鉴定(体检签约优惠)</v>
      </c>
      <c r="B334" s="17">
        <v>1</v>
      </c>
      <c r="C334" s="17" t="str">
        <f>"次"</f>
        <v>次</v>
      </c>
      <c r="D334" s="17" t="str">
        <f>"次"</f>
        <v>次</v>
      </c>
      <c r="E334" s="17" t="str">
        <f>"检验费"</f>
        <v>检验费</v>
      </c>
    </row>
    <row r="335" spans="1:5">
      <c r="A335" s="17" t="str">
        <f>"血同型半胱氨酸测定化学法（签约）"</f>
        <v>血同型半胱氨酸测定化学法（签约）</v>
      </c>
      <c r="B335" s="17">
        <v>48</v>
      </c>
      <c r="C335" s="17">
        <v>1</v>
      </c>
      <c r="D335" s="17" t="str">
        <f>"项"</f>
        <v>项</v>
      </c>
      <c r="E335" s="17" t="str">
        <f>"检验费"</f>
        <v>检验费</v>
      </c>
    </row>
  </sheetData>
  <autoFilter xmlns:etc="http://www.wps.cn/officeDocument/2017/etCustomData" ref="A1:E335" etc:filterBottomFollowUsedRange="0">
    <extLst/>
  </autoFilter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dct</dc:creator>
  <cp:lastModifiedBy>Cherries </cp:lastModifiedBy>
  <dcterms:created xsi:type="dcterms:W3CDTF">2023-05-12T11:15:00Z</dcterms:created>
  <dcterms:modified xsi:type="dcterms:W3CDTF">2026-06-02T08:06:20Z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255B7BB8B1204145991F687D4C6D9BA0_12</vt:lpwstr>
  </property>
  <property fmtid="{D5CDD505-2E9C-101B-9397-08002B2CF9AE}" pid="4" name="CalculationRule">
    <vt:i4>0</vt:i4>
  </property>
</Properties>
</file>