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75"/>
  </bookViews>
  <sheets>
    <sheet name="小市收费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<sst xmlns="http://schemas.openxmlformats.org/spreadsheetml/2006/main" count="19" uniqueCount="19">
  <si>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项目名称</t>
  </si>
  <si>
    <t>项目编码</t>
  </si>
  <si>
    <t>项目分类</t>
  </si>
  <si>
    <t>国家医保编码</t>
  </si>
  <si>
    <t>国家医保名称</t>
  </si>
  <si>
    <t>省医保编码</t>
  </si>
  <si>
    <t>单价</t>
  </si>
  <si>
    <t>状态</t>
  </si>
  <si>
    <t>规格</t>
  </si>
  <si>
    <t>材料编码</t>
  </si>
  <si>
    <t>拼音码</t>
  </si>
  <si>
    <t>五笔码</t>
  </si>
  <si>
    <t>单价限价</t>
  </si>
  <si>
    <t>国标码</t>
  </si>
  <si>
    <t>单位</t>
  </si>
  <si>
    <t>核算科目</t>
  </si>
  <si>
    <t>绩效科目</t>
  </si>
  <si>
    <t>自定义码</t>
  </si>
  <si>
    <t>MTN-PFS-E-15/18,MTN-...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</si>
</sst>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2"/>
  <sheetViews>
    <sheetView tabSelected="1" zoomScaleSheetLayoutView="60" workbookViewId="0">
      <selection activeCell="A1" sqref="A1"/>
    </sheetView>
  </sheetViews>
  <sheetFormatPr defaultColWidth="9" defaultRowHeight="13.5"/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6">
      <c r="A2" t="str">
        <f>"血同型半胱氨酸测定（化学法）"</f>
        <v>血同型半胱氨酸测定（化学法）</v>
      </c>
      <c r="B2" t="str">
        <f>"002503060110000"</f>
        <v>002503060110000</v>
      </c>
      <c r="C2" t="str">
        <f>"检验"</f>
        <v>检验</v>
      </c>
      <c r="G2">
        <v>60</v>
      </c>
      <c r="K2" t="str">
        <f>"XTXBGASCDHXF"</f>
        <v>XTXBGASCDHXF</v>
      </c>
      <c r="L2" t="str">
        <f>"TMGUERSIPWII"</f>
        <v>TMGUERSIPWII</v>
      </c>
      <c r="M2">
        <v>60</v>
      </c>
      <c r="O2" t="str">
        <f>"项"</f>
        <v>项</v>
      </c>
      <c r="P2" t="str">
        <f>"检验费"</f>
        <v>检验费</v>
      </c>
    </row>
    <row r="3" spans="1:16">
      <c r="A3" t="str">
        <f>"心理治疗（二类）"</f>
        <v>心理治疗（二类）</v>
      </c>
      <c r="B3" t="str">
        <f>"003115030240000"</f>
        <v>003115030240000</v>
      </c>
      <c r="C3" t="str">
        <f>"治疗"</f>
        <v>治疗</v>
      </c>
      <c r="G3">
        <v>180</v>
      </c>
      <c r="K3" t="str">
        <f>"XLZLEL"</f>
        <v>XLZLEL</v>
      </c>
      <c r="L3" t="str">
        <f>"NGIUFO"</f>
        <v>NGIUFO</v>
      </c>
      <c r="M3">
        <v>180</v>
      </c>
      <c r="O3" t="str">
        <f t="shared" ref="O3:O6" si="0">"次"</f>
        <v>次</v>
      </c>
      <c r="P3" t="str">
        <f>"治疗费"</f>
        <v>治疗费</v>
      </c>
    </row>
    <row r="4" spans="1:16">
      <c r="A4" t="str">
        <f>"心理治疗（三类）"</f>
        <v>心理治疗（三类）</v>
      </c>
      <c r="B4" t="str">
        <f>"003115030240000"</f>
        <v>003115030240000</v>
      </c>
      <c r="C4" t="str">
        <f>"治疗"</f>
        <v>治疗</v>
      </c>
      <c r="G4">
        <v>200</v>
      </c>
      <c r="K4" t="str">
        <f>"XLZLSL"</f>
        <v>XLZLSL</v>
      </c>
      <c r="L4" t="str">
        <f>"NGIUDO"</f>
        <v>NGIUDO</v>
      </c>
      <c r="M4">
        <v>200</v>
      </c>
      <c r="O4" t="str">
        <f t="shared" si="0"/>
        <v>次</v>
      </c>
      <c r="P4" t="str">
        <f>"治疗费"</f>
        <v>治疗费</v>
      </c>
    </row>
    <row r="5" spans="1:16">
      <c r="A5" t="str">
        <f>"心理治疗（一类）"</f>
        <v>心理治疗（一类）</v>
      </c>
      <c r="B5" t="str">
        <f>"003115030240000"</f>
        <v>003115030240000</v>
      </c>
      <c r="C5" t="str">
        <f>"治疗"</f>
        <v>治疗</v>
      </c>
      <c r="G5">
        <v>160</v>
      </c>
      <c r="K5" t="str">
        <f>"XLZLYL"</f>
        <v>XLZLYL</v>
      </c>
      <c r="L5" t="str">
        <f>"NGIUGO"</f>
        <v>NGIUGO</v>
      </c>
      <c r="M5">
        <v>160</v>
      </c>
      <c r="O5" t="str">
        <f t="shared" si="0"/>
        <v>次</v>
      </c>
      <c r="P5" t="str">
        <f>"治疗费"</f>
        <v>治疗费</v>
      </c>
    </row>
    <row r="6" spans="1:16">
      <c r="A6" t="str">
        <f>"临床量表评估（自评）"</f>
        <v>临床量表评估（自评）</v>
      </c>
      <c r="B6" t="str">
        <f>"011102010010000"</f>
        <v>011102010010000</v>
      </c>
      <c r="C6" t="str">
        <f t="shared" ref="C6:C57" si="1">"检查"</f>
        <v>检查</v>
      </c>
      <c r="D6" t="str">
        <f>"013106000030000"</f>
        <v>013106000030000</v>
      </c>
      <c r="G6">
        <v>16</v>
      </c>
      <c r="I6" t="str">
        <f>"次"</f>
        <v>次</v>
      </c>
      <c r="K6" t="str">
        <f>"LCLBPGZP"</f>
        <v>LCLBPGZP</v>
      </c>
      <c r="L6" t="str">
        <f>"JYJGYWTY"</f>
        <v>JYJGYWTY</v>
      </c>
      <c r="M6">
        <v>16</v>
      </c>
      <c r="O6" t="str">
        <f t="shared" si="0"/>
        <v>次</v>
      </c>
      <c r="P6" t="str">
        <f t="shared" ref="P6:P10" si="2">"检查费"</f>
        <v>检查费</v>
      </c>
    </row>
    <row r="7" spans="1:16">
      <c r="A7" t="str">
        <f>"临床量表评估（自评）-丁类评估（加收）"</f>
        <v>临床量表评估（自评）-丁类评估（加收）</v>
      </c>
      <c r="B7" t="str">
        <f>"011102010010003"</f>
        <v>011102010010003</v>
      </c>
      <c r="C7" t="str">
        <f t="shared" si="1"/>
        <v>检查</v>
      </c>
      <c r="G7">
        <v>25</v>
      </c>
      <c r="I7" t="str">
        <f t="shared" ref="I7:I13" si="3">"项"</f>
        <v>项</v>
      </c>
      <c r="K7" t="str">
        <f>"LCLBPGZPDLPGJS"</f>
        <v>LCLBPGZPDLPGJS</v>
      </c>
      <c r="L7" t="str">
        <f>"JYJGYWTYSOYWLN"</f>
        <v>JYJGYWTYSOYWLN</v>
      </c>
      <c r="M7">
        <v>25</v>
      </c>
      <c r="O7" t="str">
        <f t="shared" ref="O7:O10" si="4">"次 . 日"</f>
        <v>次 . 日</v>
      </c>
      <c r="P7" t="str">
        <f t="shared" si="2"/>
        <v>检查费</v>
      </c>
    </row>
    <row r="8" spans="1:16">
      <c r="A8" t="str">
        <f>"临床量表评估（他评）"</f>
        <v>临床量表评估（他评）</v>
      </c>
      <c r="B8" t="str">
        <f>"011102010020000"</f>
        <v>011102010020000</v>
      </c>
      <c r="C8" t="str">
        <f t="shared" si="1"/>
        <v>检查</v>
      </c>
      <c r="G8">
        <v>32</v>
      </c>
      <c r="I8" t="str">
        <f t="shared" si="3"/>
        <v>项</v>
      </c>
      <c r="K8" t="str">
        <f>"LCLBPGTP"</f>
        <v>LCLBPGTP</v>
      </c>
      <c r="L8" t="str">
        <f>"JYJGYWWY"</f>
        <v>JYJGYWWY</v>
      </c>
      <c r="M8">
        <v>32</v>
      </c>
      <c r="O8" t="str">
        <f t="shared" si="4"/>
        <v>次 . 日</v>
      </c>
      <c r="P8" t="str">
        <f t="shared" si="2"/>
        <v>检查费</v>
      </c>
    </row>
    <row r="9" spans="1:16">
      <c r="A9" t="str">
        <f>"临床量表评估（他评）-丙类评估（加收）"</f>
        <v>临床量表评估（他评）-丙类评估（加收）</v>
      </c>
      <c r="B9" t="str">
        <f>"011102010020002"</f>
        <v>011102010020002</v>
      </c>
      <c r="C9" t="str">
        <f t="shared" si="1"/>
        <v>检查</v>
      </c>
      <c r="G9">
        <v>28</v>
      </c>
      <c r="I9" t="str">
        <f t="shared" si="3"/>
        <v>项</v>
      </c>
      <c r="K9" t="str">
        <f>"LCLBPGTPBLPGJS"</f>
        <v>LCLBPGTPBLPGJS</v>
      </c>
      <c r="L9" t="str">
        <f>"JYJGYWWYGOYWLN"</f>
        <v>JYJGYWWYGOYWLN</v>
      </c>
      <c r="M9">
        <v>28</v>
      </c>
      <c r="O9" t="str">
        <f t="shared" si="4"/>
        <v>次 . 日</v>
      </c>
      <c r="P9" t="str">
        <f t="shared" si="2"/>
        <v>检查费</v>
      </c>
    </row>
    <row r="10" spans="1:16">
      <c r="A10" t="str">
        <f>"临床量表评估（他评）-儿童评估（扩展）"</f>
        <v>临床量表评估（他评）-儿童评估（扩展）</v>
      </c>
      <c r="B10" t="str">
        <f>"011102010020200"</f>
        <v>011102010020200</v>
      </c>
      <c r="C10" t="str">
        <f t="shared" si="1"/>
        <v>检查</v>
      </c>
      <c r="G10">
        <v>32</v>
      </c>
      <c r="I10" t="str">
        <f t="shared" si="3"/>
        <v>项</v>
      </c>
      <c r="K10" t="str">
        <f>"LCLBPGTPETPGKZ"</f>
        <v>LCLBPGTPETPGKZ</v>
      </c>
      <c r="L10" t="str">
        <f>"JYJGYWWYQUYWRN"</f>
        <v>JYJGYWWYQUYWRN</v>
      </c>
      <c r="M10">
        <v>32</v>
      </c>
      <c r="O10" t="str">
        <f t="shared" si="4"/>
        <v>次 . 日</v>
      </c>
      <c r="P10" t="str">
        <f t="shared" si="2"/>
        <v>检查费</v>
      </c>
    </row>
    <row r="11" spans="1:16">
      <c r="A11" t="str">
        <f>"X线摄影成像"</f>
        <v>X线摄影成像</v>
      </c>
      <c r="B11" t="str">
        <f>"012301010010000"</f>
        <v>012301010010000</v>
      </c>
      <c r="C11" t="str">
        <f t="shared" si="1"/>
        <v>检查</v>
      </c>
      <c r="G11">
        <v>40</v>
      </c>
      <c r="I11" t="str">
        <f t="shared" si="3"/>
        <v>项</v>
      </c>
      <c r="K11" t="str">
        <f>"XXSYCX"</f>
        <v>XXSYCX</v>
      </c>
      <c r="L11" t="str">
        <f>"XXRJDW"</f>
        <v>XXRJDW</v>
      </c>
      <c r="M11">
        <v>40</v>
      </c>
      <c r="O11" t="str">
        <f t="shared" ref="O11:O13" si="5">"部位"</f>
        <v>部位</v>
      </c>
      <c r="P11" t="str">
        <f t="shared" ref="P11:P13" si="6">"放射费"</f>
        <v>放射费</v>
      </c>
    </row>
    <row r="12" spans="1:16">
      <c r="A12" t="str">
        <f>"X线摄影成像-口腔曲面体层成像(扩展)"</f>
        <v>X线摄影成像-口腔曲面体层成像(扩展)</v>
      </c>
      <c r="B12" t="str">
        <f>"012301010011100"</f>
        <v>012301010011100</v>
      </c>
      <c r="C12" t="str">
        <f t="shared" si="1"/>
        <v>检查</v>
      </c>
      <c r="G12">
        <v>40</v>
      </c>
      <c r="I12" t="str">
        <f t="shared" si="3"/>
        <v>项</v>
      </c>
      <c r="K12" t="str">
        <f>"XXSYCXKQQMTCCXKZ"</f>
        <v>XXSYCXKQQMTCCXKZ</v>
      </c>
      <c r="L12" t="str">
        <f>"XXRJDWKEMDWNDWRN"</f>
        <v>XXRJDWKEMDWNDWRN</v>
      </c>
      <c r="M12">
        <v>40</v>
      </c>
      <c r="O12" t="str">
        <f t="shared" si="5"/>
        <v>部位</v>
      </c>
      <c r="P12" t="str">
        <f t="shared" si="6"/>
        <v>放射费</v>
      </c>
    </row>
    <row r="13" spans="1:16">
      <c r="A13" t="str">
        <f>"X线摄影成像(牙片)"</f>
        <v>X线摄影成像(牙片)</v>
      </c>
      <c r="B13" t="str">
        <f>"012301010020000"</f>
        <v>012301010020000</v>
      </c>
      <c r="C13" t="str">
        <f t="shared" si="1"/>
        <v>检查</v>
      </c>
      <c r="G13">
        <v>15</v>
      </c>
      <c r="I13" t="str">
        <f t="shared" si="3"/>
        <v>项</v>
      </c>
      <c r="K13" t="str">
        <f>"XXSYCXYP"</f>
        <v>XXSYCXYP</v>
      </c>
      <c r="L13" t="str">
        <f>"XXRJDWAT"</f>
        <v>XXRJDWAT</v>
      </c>
      <c r="M13">
        <v>15</v>
      </c>
      <c r="O13" t="str">
        <f t="shared" si="5"/>
        <v>部位</v>
      </c>
      <c r="P13" t="str">
        <f t="shared" si="6"/>
        <v>放射费</v>
      </c>
    </row>
    <row r="14" spans="1:16">
      <c r="A14" t="str">
        <f>"彩色多普勒超声检查（常规）"</f>
        <v>彩色多普勒超声检查（常规）</v>
      </c>
      <c r="B14" t="str">
        <f>"012302030010000"</f>
        <v>012302030010000</v>
      </c>
      <c r="C14" t="str">
        <f t="shared" si="1"/>
        <v>检查</v>
      </c>
      <c r="G14">
        <v>72</v>
      </c>
      <c r="I14">
        <v>1</v>
      </c>
      <c r="K14" t="str">
        <f>"CSDPLCSJCCG"</f>
        <v>CSDPLCSJCCG</v>
      </c>
      <c r="L14" t="str">
        <f>"EQQUAFFSSIF"</f>
        <v>EQQUAFFSSIF</v>
      </c>
      <c r="M14">
        <v>85</v>
      </c>
      <c r="O14" t="str">
        <f>"每个 部位"</f>
        <v>每个 部位</v>
      </c>
      <c r="P14" t="str">
        <f t="shared" ref="P14:P23" si="7">"彩超费"</f>
        <v>彩超费</v>
      </c>
    </row>
    <row r="15" spans="1:16">
      <c r="A15" t="str">
        <f>"膀胱残余尿量测定"</f>
        <v>膀胱残余尿量测定</v>
      </c>
      <c r="B15" t="str">
        <f>"012302030010000-1"</f>
        <v>012302030010000-1</v>
      </c>
      <c r="C15" t="str">
        <f t="shared" si="1"/>
        <v>检查</v>
      </c>
      <c r="G15">
        <v>25</v>
      </c>
      <c r="I15" t="str">
        <f>"次"</f>
        <v>次</v>
      </c>
      <c r="K15" t="str">
        <f>"BCYNLCD"</f>
        <v>BCYNLCD</v>
      </c>
      <c r="L15" t="str">
        <f>"EEGWNJIP"</f>
        <v>EEGWNJIP</v>
      </c>
      <c r="M15">
        <v>25</v>
      </c>
      <c r="O15" t="str">
        <f>"次"</f>
        <v>次</v>
      </c>
      <c r="P15" t="str">
        <f t="shared" si="7"/>
        <v>彩超费</v>
      </c>
    </row>
    <row r="16" spans="1:16">
      <c r="A16" t="str">
        <f>"彩色多普勒超声检查（常规）-单侧乳腺及其引流区淋巴"</f>
        <v>彩色多普勒超声检查（常规）-单侧乳腺及其引流区淋巴</v>
      </c>
      <c r="B16" t="str">
        <f>"012302030010000-14"</f>
        <v>012302030010000-14</v>
      </c>
      <c r="C16" t="str">
        <f t="shared" si="1"/>
        <v>检查</v>
      </c>
      <c r="G16">
        <v>36</v>
      </c>
      <c r="I16">
        <v>1</v>
      </c>
      <c r="K16" t="str">
        <f>"CSDPLCSJCCGDCRXJ"</f>
        <v>CSDPLCSJCCGDCRXJ</v>
      </c>
      <c r="L16" t="str">
        <f>"EQQUAFFSSIFUWEEE"</f>
        <v>EQQUAFFSSIFUWEEE</v>
      </c>
      <c r="M16">
        <v>36</v>
      </c>
      <c r="O16" t="str">
        <f t="shared" ref="O16:O18" si="8">"部位"</f>
        <v>部位</v>
      </c>
      <c r="P16" t="str">
        <f t="shared" si="7"/>
        <v>彩超费</v>
      </c>
    </row>
    <row r="17" spans="1:16">
      <c r="A17" t="str">
        <f>"彩色多普勒超声检查（常规）-腔内检查（加收）"</f>
        <v>彩色多普勒超声检查（常规）-腔内检查（加收）</v>
      </c>
      <c r="B17" t="str">
        <f>"012302030010011"</f>
        <v>012302030010011</v>
      </c>
      <c r="C17" t="str">
        <f t="shared" si="1"/>
        <v>检查</v>
      </c>
      <c r="G17">
        <v>20</v>
      </c>
      <c r="I17" t="str">
        <f t="shared" ref="I17:I20" si="9">"部位"</f>
        <v>部位</v>
      </c>
      <c r="K17" t="str">
        <f>"CSDPLCSJCCGQNJCJ"</f>
        <v>CSDPLCSJCCGQNJCJ</v>
      </c>
      <c r="L17" t="str">
        <f>"EQQUAFFSSIFEMSSL"</f>
        <v>EQQUAFFSSIFEMSSL</v>
      </c>
      <c r="M17">
        <v>20</v>
      </c>
      <c r="O17" t="str">
        <f t="shared" si="8"/>
        <v>部位</v>
      </c>
      <c r="P17" t="str">
        <f t="shared" si="7"/>
        <v>彩超费</v>
      </c>
    </row>
    <row r="18" spans="1:16">
      <c r="A18" t="str">
        <f>"彩色多普勒超声检查（常规）-排卵监测（减收）"</f>
        <v>彩色多普勒超声检查（常规）-排卵监测（减收）</v>
      </c>
      <c r="B18" t="str">
        <f>"012302030010031"</f>
        <v>012302030010031</v>
      </c>
      <c r="C18" t="str">
        <f t="shared" si="1"/>
        <v>检查</v>
      </c>
      <c r="G18">
        <v>50</v>
      </c>
      <c r="I18" t="str">
        <f t="shared" si="9"/>
        <v>部位</v>
      </c>
      <c r="K18" t="str">
        <f>"CSDPLCSJCCGPLJCJ"</f>
        <v>CSDPLCSJCCGPLJCJ</v>
      </c>
      <c r="L18" t="str">
        <f>"EQQUAFFSSIFRQJIU"</f>
        <v>EQQUAFFSSIFRQJIU</v>
      </c>
      <c r="M18">
        <v>50</v>
      </c>
      <c r="O18" t="str">
        <f t="shared" si="8"/>
        <v>部位</v>
      </c>
      <c r="P18" t="str">
        <f t="shared" si="7"/>
        <v>彩超费</v>
      </c>
    </row>
    <row r="19" spans="1:16">
      <c r="A19" t="str">
        <f>"彩色多普勒超声检查（心脏）"</f>
        <v>彩色多普勒超声检查（心脏）</v>
      </c>
      <c r="B19" t="str">
        <f>"012302030020000"</f>
        <v>012302030020000</v>
      </c>
      <c r="C19" t="str">
        <f t="shared" si="1"/>
        <v>检查</v>
      </c>
      <c r="G19">
        <v>200</v>
      </c>
      <c r="I19" t="str">
        <f>"次"</f>
        <v>次</v>
      </c>
      <c r="K19" t="str">
        <f>"CSDPLCSJCXZ"</f>
        <v>CSDPLCSJCXZ</v>
      </c>
      <c r="L19" t="str">
        <f>"EQQUAFFSSNE"</f>
        <v>EQQUAFFSSNE</v>
      </c>
      <c r="M19">
        <v>200</v>
      </c>
      <c r="O19" t="str">
        <f t="shared" ref="O19:O25" si="10">"次"</f>
        <v>次</v>
      </c>
      <c r="P19" t="str">
        <f t="shared" si="7"/>
        <v>彩超费</v>
      </c>
    </row>
    <row r="20" spans="1:16">
      <c r="A20" t="str">
        <f>"彩色多普勒超声检查（血管）"</f>
        <v>彩色多普勒超声检查（血管）</v>
      </c>
      <c r="B20" t="str">
        <f>"012302030030000"</f>
        <v>012302030030000</v>
      </c>
      <c r="C20" t="str">
        <f t="shared" si="1"/>
        <v>检查</v>
      </c>
      <c r="G20">
        <v>72</v>
      </c>
      <c r="I20" t="str">
        <f t="shared" si="9"/>
        <v>部位</v>
      </c>
      <c r="K20" t="str">
        <f>"CSDPLCSJCXG"</f>
        <v>CSDPLCSJCXG</v>
      </c>
      <c r="L20" t="str">
        <f>"EQQUAFFSSTT"</f>
        <v>EQQUAFFSSTT</v>
      </c>
      <c r="M20">
        <v>85</v>
      </c>
      <c r="O20" t="str">
        <f>"部位"</f>
        <v>部位</v>
      </c>
      <c r="P20" t="str">
        <f t="shared" si="7"/>
        <v>彩超费</v>
      </c>
    </row>
    <row r="21" spans="1:16">
      <c r="A21" t="str">
        <f>"彩色多普勒超声检查（弹性成像）"</f>
        <v>彩色多普勒超声检查（弹性成像）</v>
      </c>
      <c r="B21" t="str">
        <f>"012302030040000"</f>
        <v>012302030040000</v>
      </c>
      <c r="C21" t="str">
        <f t="shared" si="1"/>
        <v>检查</v>
      </c>
      <c r="G21">
        <v>98</v>
      </c>
      <c r="I21" t="str">
        <f>"器官"</f>
        <v>器官</v>
      </c>
      <c r="K21" t="str">
        <f>"CSDPLCSJCDXCX"</f>
        <v>CSDPLCSJCDXCX</v>
      </c>
      <c r="L21" t="str">
        <f>"EQQUAFFSSXNDW"</f>
        <v>EQQUAFFSSXNDW</v>
      </c>
      <c r="M21">
        <v>115</v>
      </c>
      <c r="O21" t="str">
        <f>"部位"</f>
        <v>部位</v>
      </c>
      <c r="P21" t="str">
        <f t="shared" si="7"/>
        <v>彩超费</v>
      </c>
    </row>
    <row r="22" spans="1:16">
      <c r="A22" t="str">
        <f>"彩色多普勒超声检查（胎儿）"</f>
        <v>彩色多普勒超声检查（胎儿）</v>
      </c>
      <c r="B22" t="str">
        <f>"012302030050000"</f>
        <v>012302030050000</v>
      </c>
      <c r="C22" t="str">
        <f t="shared" si="1"/>
        <v>检查</v>
      </c>
      <c r="G22">
        <v>119</v>
      </c>
      <c r="I22" t="str">
        <f>"胎·次"</f>
        <v>胎·次</v>
      </c>
      <c r="K22" t="str">
        <f>"CSDPLCSJCTE"</f>
        <v>CSDPLCSJCTE</v>
      </c>
      <c r="L22" t="str">
        <f>"EQQUAFFSSEQ"</f>
        <v>EQQUAFFSSEQ</v>
      </c>
      <c r="M22">
        <v>140</v>
      </c>
      <c r="O22" t="str">
        <f t="shared" si="10"/>
        <v>次</v>
      </c>
      <c r="P22" t="str">
        <f t="shared" si="7"/>
        <v>彩超费</v>
      </c>
    </row>
    <row r="23" spans="1:16">
      <c r="A23" t="str">
        <f>"彩色多普勒超声检查（胎儿）-早孕期筛查（扩展）"</f>
        <v>彩色多普勒超声检查（胎儿）-早孕期筛查（扩展）</v>
      </c>
      <c r="B23" t="str">
        <f>"012302030051100"</f>
        <v>012302030051100</v>
      </c>
      <c r="C23" t="str">
        <f t="shared" si="1"/>
        <v>检查</v>
      </c>
      <c r="G23">
        <v>119</v>
      </c>
      <c r="I23" t="str">
        <f>"胎·次"</f>
        <v>胎·次</v>
      </c>
      <c r="K23" t="str">
        <f>"CSDPLCSJCTEZYQSC"</f>
        <v>CSDPLCSJCTEZYQSC</v>
      </c>
      <c r="L23" t="str">
        <f>"EQQUAFFSSEQJEATS"</f>
        <v>EQQUAFFSSEQJEATS</v>
      </c>
      <c r="M23">
        <v>140</v>
      </c>
      <c r="O23" t="str">
        <f t="shared" si="10"/>
        <v>次</v>
      </c>
      <c r="P23" t="str">
        <f t="shared" si="7"/>
        <v>彩超费</v>
      </c>
    </row>
    <row r="24" spans="1:16">
      <c r="A24" t="str">
        <f>"视力检查费（普通）"</f>
        <v>视力检查费（普通）</v>
      </c>
      <c r="B24" t="str">
        <f>"012403000010000"</f>
        <v>012403000010000</v>
      </c>
      <c r="C24" t="str">
        <f t="shared" si="1"/>
        <v>检查</v>
      </c>
      <c r="G24">
        <v>5</v>
      </c>
      <c r="K24" t="str">
        <f>"SLJCFPT"</f>
        <v>SLJCFPT</v>
      </c>
      <c r="L24" t="str">
        <f>"PLSSXUC"</f>
        <v>PLSSXUC</v>
      </c>
      <c r="M24">
        <v>5</v>
      </c>
      <c r="O24" t="str">
        <f t="shared" si="10"/>
        <v>次</v>
      </c>
      <c r="P24" t="str">
        <f t="shared" ref="P24:P50" si="11">"检查费"</f>
        <v>检查费</v>
      </c>
    </row>
    <row r="25" spans="1:16">
      <c r="A25" t="str">
        <f>"视力检查费（特殊）"</f>
        <v>视力检查费（特殊）</v>
      </c>
      <c r="B25" t="str">
        <f>"012403000020000"</f>
        <v>012403000020000</v>
      </c>
      <c r="C25" t="str">
        <f t="shared" si="1"/>
        <v>检查</v>
      </c>
      <c r="G25">
        <v>23</v>
      </c>
      <c r="K25" t="str">
        <f>"SLJCFTS"</f>
        <v>SLJCFTS</v>
      </c>
      <c r="L25" t="str">
        <f>"PLSSXTG"</f>
        <v>PLSSXTG</v>
      </c>
      <c r="M25">
        <v>23</v>
      </c>
      <c r="O25" t="str">
        <f t="shared" si="10"/>
        <v>次</v>
      </c>
      <c r="P25" t="str">
        <f t="shared" si="11"/>
        <v>检查费</v>
      </c>
    </row>
    <row r="26" spans="1:16">
      <c r="A26" t="str">
        <f>"眼压检查费"</f>
        <v>眼压检查费</v>
      </c>
      <c r="B26" t="str">
        <f>"012403000050000"</f>
        <v>012403000050000</v>
      </c>
      <c r="C26" t="str">
        <f t="shared" si="1"/>
        <v>检查</v>
      </c>
      <c r="G26">
        <v>7</v>
      </c>
      <c r="K26" t="str">
        <f>"YYJCF"</f>
        <v>YYJCF</v>
      </c>
      <c r="L26" t="str">
        <f>"HDSSX"</f>
        <v>HDSSX</v>
      </c>
      <c r="M26">
        <v>7</v>
      </c>
      <c r="O26" t="str">
        <f>"单侧"</f>
        <v>单侧</v>
      </c>
      <c r="P26" t="str">
        <f t="shared" si="11"/>
        <v>检查费</v>
      </c>
    </row>
    <row r="27" spans="1:16">
      <c r="A27" t="str">
        <f>"色觉检查费"</f>
        <v>色觉检查费</v>
      </c>
      <c r="B27" t="str">
        <f>"012403000070000"</f>
        <v>012403000070000</v>
      </c>
      <c r="C27" t="str">
        <f t="shared" si="1"/>
        <v>检查</v>
      </c>
      <c r="G27">
        <v>6.5</v>
      </c>
      <c r="K27" t="str">
        <f>"SJJCF"</f>
        <v>SJJCF</v>
      </c>
      <c r="L27" t="str">
        <f>"QISSX"</f>
        <v>QISSX</v>
      </c>
      <c r="M27">
        <v>6.5</v>
      </c>
      <c r="O27" t="str">
        <f t="shared" ref="O27:O31" si="12">"次"</f>
        <v>次</v>
      </c>
      <c r="P27" t="str">
        <f t="shared" si="11"/>
        <v>检查费</v>
      </c>
    </row>
    <row r="28" spans="1:16">
      <c r="A28" t="str">
        <f>"泪液分泌功能测定费"</f>
        <v>泪液分泌功能测定费</v>
      </c>
      <c r="B28" t="str">
        <f>"012403000090000"</f>
        <v>012403000090000</v>
      </c>
      <c r="C28" t="str">
        <f t="shared" si="1"/>
        <v>检查</v>
      </c>
      <c r="G28">
        <v>3.5</v>
      </c>
      <c r="K28" t="str">
        <f>"LYFMGNCDF"</f>
        <v>LYFMGNCDF</v>
      </c>
      <c r="L28" t="str">
        <f>"IIWIACIPX"</f>
        <v>IIWIACIPX</v>
      </c>
      <c r="M28">
        <v>3.5</v>
      </c>
      <c r="O28" t="str">
        <f>"单侧"</f>
        <v>单侧</v>
      </c>
      <c r="P28" t="str">
        <f t="shared" si="11"/>
        <v>检查费</v>
      </c>
    </row>
    <row r="29" spans="1:16">
      <c r="A29" t="str">
        <f>"泪膜分析测定费"</f>
        <v>泪膜分析测定费</v>
      </c>
      <c r="B29" t="str">
        <f>"012403000100000"</f>
        <v>012403000100000</v>
      </c>
      <c r="C29" t="str">
        <f t="shared" si="1"/>
        <v>检查</v>
      </c>
      <c r="G29">
        <v>4</v>
      </c>
      <c r="K29" t="str">
        <f>"LMFXCDF"</f>
        <v>LMFXCDF</v>
      </c>
      <c r="L29" t="str">
        <f>"IEWSIPX"</f>
        <v>IEWSIPX</v>
      </c>
      <c r="M29">
        <v>4</v>
      </c>
      <c r="O29" t="str">
        <f t="shared" si="12"/>
        <v>次</v>
      </c>
      <c r="P29" t="str">
        <f t="shared" si="11"/>
        <v>检查费</v>
      </c>
    </row>
    <row r="30" spans="1:16">
      <c r="A30" t="str">
        <f>"斜视度测定费"</f>
        <v>斜视度测定费</v>
      </c>
      <c r="B30" t="str">
        <f>"012403000120000"</f>
        <v>012403000120000</v>
      </c>
      <c r="C30" t="str">
        <f t="shared" si="1"/>
        <v>检查</v>
      </c>
      <c r="G30">
        <v>17</v>
      </c>
      <c r="K30" t="str">
        <f>"XSDCDF"</f>
        <v>XSDCDF</v>
      </c>
      <c r="L30" t="str">
        <f>"WPYIPX"</f>
        <v>WPYIPX</v>
      </c>
      <c r="M30">
        <v>17</v>
      </c>
      <c r="O30" t="str">
        <f t="shared" si="12"/>
        <v>次</v>
      </c>
      <c r="P30" t="str">
        <f t="shared" si="11"/>
        <v>检查费</v>
      </c>
    </row>
    <row r="31" spans="1:16">
      <c r="A31" t="str">
        <f>"斜视度测定费-儿童（加收）"</f>
        <v>斜视度测定费-儿童（加收）</v>
      </c>
      <c r="B31" t="str">
        <f>"012403000120001"</f>
        <v>012403000120001</v>
      </c>
      <c r="C31" t="str">
        <f t="shared" si="1"/>
        <v>检查</v>
      </c>
      <c r="G31">
        <v>5.1</v>
      </c>
      <c r="K31" t="str">
        <f>"XSDCDFETJS"</f>
        <v>XSDCDFETJS</v>
      </c>
      <c r="L31" t="str">
        <f>"WPYIPXQULN"</f>
        <v>WPYIPXQULN</v>
      </c>
      <c r="M31">
        <v>5.1</v>
      </c>
      <c r="O31" t="str">
        <f t="shared" si="12"/>
        <v>次</v>
      </c>
      <c r="P31" t="str">
        <f t="shared" si="11"/>
        <v>检查费</v>
      </c>
    </row>
    <row r="32" spans="1:16">
      <c r="A32" t="str">
        <f>"上睑下垂检查费"</f>
        <v>上睑下垂检查费</v>
      </c>
      <c r="B32" t="str">
        <f>"012403000180000"</f>
        <v>012403000180000</v>
      </c>
      <c r="C32" t="str">
        <f t="shared" si="1"/>
        <v>检查</v>
      </c>
      <c r="G32">
        <v>3.5</v>
      </c>
      <c r="K32" t="str">
        <f>"SJXCJCF"</f>
        <v>SJXCJCF</v>
      </c>
      <c r="L32" t="str">
        <f>"HHGTSSX"</f>
        <v>HHGTSSX</v>
      </c>
      <c r="M32">
        <v>3.5</v>
      </c>
      <c r="O32" t="str">
        <f t="shared" ref="O32:O35" si="13">"单侧"</f>
        <v>单侧</v>
      </c>
      <c r="P32" t="str">
        <f t="shared" si="11"/>
        <v>检查费</v>
      </c>
    </row>
    <row r="33" spans="1:16">
      <c r="A33" t="str">
        <f>"双眼视觉功能检查费"</f>
        <v>双眼视觉功能检查费</v>
      </c>
      <c r="B33" t="str">
        <f>"012403000190000"</f>
        <v>012403000190000</v>
      </c>
      <c r="C33" t="str">
        <f t="shared" si="1"/>
        <v>检查</v>
      </c>
      <c r="G33">
        <v>28</v>
      </c>
      <c r="K33" t="str">
        <f>"SYSJGNJCF"</f>
        <v>SYSJGNJCF</v>
      </c>
      <c r="L33" t="str">
        <f>"CHPIACSSX"</f>
        <v>CHPIACSSX</v>
      </c>
      <c r="M33">
        <v>28</v>
      </c>
      <c r="O33" t="str">
        <f t="shared" ref="O33:O40" si="14">"次"</f>
        <v>次</v>
      </c>
      <c r="P33" t="str">
        <f t="shared" si="11"/>
        <v>检查费</v>
      </c>
    </row>
    <row r="34" spans="1:16">
      <c r="A34" t="str">
        <f>"眼部照相费-眼底"</f>
        <v>眼部照相费-眼底</v>
      </c>
      <c r="B34" t="str">
        <f>"012403000200000-3"</f>
        <v>012403000200000-3</v>
      </c>
      <c r="C34" t="str">
        <f t="shared" si="1"/>
        <v>检查</v>
      </c>
      <c r="G34">
        <v>25</v>
      </c>
      <c r="K34" t="str">
        <f>"YBZXFYD"</f>
        <v>YBZXFYD</v>
      </c>
      <c r="L34" t="str">
        <f>"HUJSXHY"</f>
        <v>HUJSXHY</v>
      </c>
      <c r="M34">
        <v>25</v>
      </c>
      <c r="O34" t="str">
        <f t="shared" si="13"/>
        <v>单侧</v>
      </c>
      <c r="P34" t="str">
        <f t="shared" si="11"/>
        <v>检查费</v>
      </c>
    </row>
    <row r="35" spans="1:16">
      <c r="A35" t="str">
        <f>"眼底镜检查费"</f>
        <v>眼底镜检查费</v>
      </c>
      <c r="B35" t="str">
        <f>"012403000210000"</f>
        <v>012403000210000</v>
      </c>
      <c r="C35" t="str">
        <f t="shared" si="1"/>
        <v>检查</v>
      </c>
      <c r="G35">
        <v>6</v>
      </c>
      <c r="K35" t="str">
        <f>"YDJJCF"</f>
        <v>YDJJCF</v>
      </c>
      <c r="L35" t="str">
        <f>"HYQSSX"</f>
        <v>HYQSSX</v>
      </c>
      <c r="M35">
        <v>6</v>
      </c>
      <c r="O35" t="str">
        <f t="shared" si="13"/>
        <v>单侧</v>
      </c>
      <c r="P35" t="str">
        <f t="shared" si="11"/>
        <v>检查费</v>
      </c>
    </row>
    <row r="36" spans="1:16">
      <c r="A36" t="str">
        <f>"裂隙灯检查费"</f>
        <v>裂隙灯检查费</v>
      </c>
      <c r="B36" t="str">
        <f>"012403000310000"</f>
        <v>012403000310000</v>
      </c>
      <c r="C36" t="str">
        <f t="shared" si="1"/>
        <v>检查</v>
      </c>
      <c r="G36">
        <v>12</v>
      </c>
      <c r="K36" t="str">
        <f>"LXDJCF"</f>
        <v>LXDJCF</v>
      </c>
      <c r="L36" t="str">
        <f>"GBOSSX"</f>
        <v>GBOSSX</v>
      </c>
      <c r="M36">
        <v>12</v>
      </c>
      <c r="O36" t="str">
        <f t="shared" si="14"/>
        <v>次</v>
      </c>
      <c r="P36" t="str">
        <f t="shared" si="11"/>
        <v>检查费</v>
      </c>
    </row>
    <row r="37" spans="1:16">
      <c r="A37" t="str">
        <f>"耳声发射检查费"</f>
        <v>耳声发射检查费</v>
      </c>
      <c r="B37" t="str">
        <f>"012404000090000"</f>
        <v>012404000090000</v>
      </c>
      <c r="C37" t="str">
        <f t="shared" si="1"/>
        <v>检查</v>
      </c>
      <c r="G37">
        <v>65</v>
      </c>
      <c r="I37">
        <v>1</v>
      </c>
      <c r="K37" t="str">
        <f>"ESFSJCF"</f>
        <v>ESFSJCF</v>
      </c>
      <c r="L37" t="str">
        <f>"BFNTSSX"</f>
        <v>BFNTSSX</v>
      </c>
      <c r="M37">
        <v>65</v>
      </c>
      <c r="O37" t="str">
        <f>"单侧"</f>
        <v>单侧</v>
      </c>
      <c r="P37" t="str">
        <f t="shared" si="11"/>
        <v>检查费</v>
      </c>
    </row>
    <row r="38" spans="1:16">
      <c r="A38" t="str">
        <f>"前鼻镜检查费"</f>
        <v>前鼻镜检查费</v>
      </c>
      <c r="B38" t="str">
        <f>"012405000010000"</f>
        <v>012405000010000</v>
      </c>
      <c r="C38" t="str">
        <f t="shared" si="1"/>
        <v>检查</v>
      </c>
      <c r="G38">
        <v>3.9</v>
      </c>
      <c r="K38" t="str">
        <f>"QBJJCF"</f>
        <v>QBJJCF</v>
      </c>
      <c r="L38" t="str">
        <f>"UTQSSX"</f>
        <v>UTQSSX</v>
      </c>
      <c r="M38">
        <v>3.9</v>
      </c>
      <c r="O38" t="str">
        <f t="shared" si="14"/>
        <v>次</v>
      </c>
      <c r="P38" t="str">
        <f t="shared" si="11"/>
        <v>检查费</v>
      </c>
    </row>
    <row r="39" spans="1:16">
      <c r="A39" t="str">
        <f>"间接鼻咽喉镜检查费"</f>
        <v>间接鼻咽喉镜检查费</v>
      </c>
      <c r="B39" t="str">
        <f>"012405000080000"</f>
        <v>012405000080000</v>
      </c>
      <c r="C39" t="str">
        <f t="shared" si="1"/>
        <v>检查</v>
      </c>
      <c r="G39">
        <v>21</v>
      </c>
      <c r="K39" t="str">
        <f>"JJBYHJJCF"</f>
        <v>JJBYHJJCF</v>
      </c>
      <c r="L39" t="str">
        <f>"URTKKQSSX"</f>
        <v>URTKKQSSX</v>
      </c>
      <c r="M39">
        <v>21</v>
      </c>
      <c r="O39" t="str">
        <f t="shared" si="14"/>
        <v>次</v>
      </c>
      <c r="P39" t="str">
        <f t="shared" si="11"/>
        <v>检查费</v>
      </c>
    </row>
    <row r="40" spans="1:16">
      <c r="A40" t="str">
        <f>"间接喉镜检查"</f>
        <v>间接喉镜检查</v>
      </c>
      <c r="B40" t="str">
        <f>"012405000080000-1"</f>
        <v>012405000080000-1</v>
      </c>
      <c r="C40" t="str">
        <f t="shared" si="1"/>
        <v>检查</v>
      </c>
      <c r="G40">
        <v>7.8</v>
      </c>
      <c r="K40" t="str">
        <f>"JJHJJC"</f>
        <v>JJHJJC</v>
      </c>
      <c r="L40" t="str">
        <f>"URKQSS"</f>
        <v>URKQSS</v>
      </c>
      <c r="M40">
        <v>7.8</v>
      </c>
      <c r="O40" t="str">
        <f t="shared" si="14"/>
        <v>次</v>
      </c>
      <c r="P40" t="str">
        <f t="shared" si="11"/>
        <v>检查费</v>
      </c>
    </row>
    <row r="41" spans="1:16">
      <c r="A41" t="str">
        <f>"牙髓活力测验费"</f>
        <v>牙髓活力测验费</v>
      </c>
      <c r="B41" t="str">
        <f>"012406000010000"</f>
        <v>012406000010000</v>
      </c>
      <c r="C41" t="str">
        <f t="shared" si="1"/>
        <v>检查</v>
      </c>
      <c r="G41">
        <v>4.8</v>
      </c>
      <c r="K41" t="str">
        <f>"YSHLCYF"</f>
        <v>YSHLCYF</v>
      </c>
      <c r="L41" t="str">
        <f>"AMILICX"</f>
        <v>AMILICX</v>
      </c>
      <c r="M41">
        <v>4.8</v>
      </c>
      <c r="O41" t="str">
        <f>"每牙"</f>
        <v>每牙</v>
      </c>
      <c r="P41" t="str">
        <f t="shared" si="11"/>
        <v>检查费</v>
      </c>
    </row>
    <row r="42" spans="1:16">
      <c r="A42" t="str">
        <f>"颌位转移检查费"</f>
        <v>颌位转移检查费</v>
      </c>
      <c r="B42" t="str">
        <f>"012406000020000"</f>
        <v>012406000020000</v>
      </c>
      <c r="C42" t="str">
        <f t="shared" si="1"/>
        <v>检查</v>
      </c>
      <c r="G42">
        <v>600</v>
      </c>
      <c r="K42" t="str">
        <f>"HWZYJCF"</f>
        <v>HWZYJCF</v>
      </c>
      <c r="L42" t="str">
        <f>"WWLTSSX"</f>
        <v>WWLTSSX</v>
      </c>
      <c r="M42">
        <v>600</v>
      </c>
      <c r="O42" t="str">
        <f t="shared" ref="O42:O44" si="15">"次"</f>
        <v>次</v>
      </c>
      <c r="P42" t="str">
        <f t="shared" si="11"/>
        <v>检查费</v>
      </c>
    </row>
    <row r="43" spans="1:16">
      <c r="A43" t="str">
        <f>"全口牙周系统检查费"</f>
        <v>全口牙周系统检查费</v>
      </c>
      <c r="B43" t="str">
        <f>"012406000030000"</f>
        <v>012406000030000</v>
      </c>
      <c r="C43" t="str">
        <f t="shared" si="1"/>
        <v>检查</v>
      </c>
      <c r="G43">
        <v>120</v>
      </c>
      <c r="K43" t="str">
        <f>"QKYZXTJCF"</f>
        <v>QKYZXTJCF</v>
      </c>
      <c r="L43" t="str">
        <f>"WKAMTXSSX"</f>
        <v>WKAMTXSSX</v>
      </c>
      <c r="M43">
        <v>120</v>
      </c>
      <c r="O43" t="str">
        <f t="shared" si="15"/>
        <v>次</v>
      </c>
      <c r="P43" t="str">
        <f t="shared" si="11"/>
        <v>检查费</v>
      </c>
    </row>
    <row r="44" spans="1:16">
      <c r="A44" t="str">
        <f>"牙周探诊费"</f>
        <v>牙周探诊费</v>
      </c>
      <c r="B44" t="str">
        <f>"012406000040000"</f>
        <v>012406000040000</v>
      </c>
      <c r="C44" t="str">
        <f t="shared" si="1"/>
        <v>检查</v>
      </c>
      <c r="G44">
        <v>27</v>
      </c>
      <c r="K44" t="str">
        <f>"YZTZF"</f>
        <v>YZTZF</v>
      </c>
      <c r="L44" t="str">
        <f>"AMRYX"</f>
        <v>AMRYX</v>
      </c>
      <c r="M44">
        <v>27</v>
      </c>
      <c r="O44" t="str">
        <f t="shared" si="15"/>
        <v>次</v>
      </c>
      <c r="P44" t="str">
        <f t="shared" si="11"/>
        <v>检查费</v>
      </c>
    </row>
    <row r="45" spans="1:16">
      <c r="A45" t="str">
        <f>"牙周指数检查费"</f>
        <v>牙周指数检查费</v>
      </c>
      <c r="B45" t="str">
        <f>"012406000050000"</f>
        <v>012406000050000</v>
      </c>
      <c r="C45" t="str">
        <f t="shared" si="1"/>
        <v>检查</v>
      </c>
      <c r="G45">
        <v>4.3</v>
      </c>
      <c r="K45" t="str">
        <f>"YZZSJCF"</f>
        <v>YZZSJCF</v>
      </c>
      <c r="L45" t="str">
        <f>"AMROSSX"</f>
        <v>AMROSSX</v>
      </c>
      <c r="M45">
        <v>4.3</v>
      </c>
      <c r="O45" t="str">
        <f>"项"</f>
        <v>项</v>
      </c>
      <c r="P45" t="str">
        <f t="shared" si="11"/>
        <v>检查费</v>
      </c>
    </row>
    <row r="46" spans="1:16">
      <c r="A46" t="str">
        <f>"咬合力检测费"</f>
        <v>咬合力检测费</v>
      </c>
      <c r="B46" t="str">
        <f>"012406000060000"</f>
        <v>012406000060000</v>
      </c>
      <c r="C46" t="str">
        <f t="shared" si="1"/>
        <v>检查</v>
      </c>
      <c r="G46">
        <v>10</v>
      </c>
      <c r="K46" t="str">
        <f>"YHLJCF"</f>
        <v>YHLJCF</v>
      </c>
      <c r="L46" t="str">
        <f>"KWLSIX"</f>
        <v>KWLSIX</v>
      </c>
      <c r="M46">
        <v>10</v>
      </c>
      <c r="O46" t="str">
        <f>"每牙"</f>
        <v>每牙</v>
      </c>
      <c r="P46" t="str">
        <f t="shared" si="11"/>
        <v>检查费</v>
      </c>
    </row>
    <row r="47" spans="1:16">
      <c r="A47" t="str">
        <f>"肺通气功能检查费"</f>
        <v>肺通气功能检查费</v>
      </c>
      <c r="B47" t="str">
        <f>"012407000020000"</f>
        <v>012407000020000</v>
      </c>
      <c r="C47" t="str">
        <f t="shared" si="1"/>
        <v>检查</v>
      </c>
      <c r="D47" t="str">
        <f>"012407000020000"</f>
        <v>012407000020000</v>
      </c>
      <c r="G47">
        <v>138</v>
      </c>
      <c r="I47" t="str">
        <f t="shared" ref="I47:I49" si="16">"次"</f>
        <v>次</v>
      </c>
      <c r="K47" t="str">
        <f>"FTQGNJCF"</f>
        <v>FTQGNJCF</v>
      </c>
      <c r="L47" t="str">
        <f>"ECRACSSX"</f>
        <v>ECRACSSX</v>
      </c>
      <c r="M47">
        <v>138</v>
      </c>
      <c r="O47" t="str">
        <f t="shared" ref="O47:O49" si="17">"次"</f>
        <v>次</v>
      </c>
      <c r="P47" t="str">
        <f t="shared" si="11"/>
        <v>检查费</v>
      </c>
    </row>
    <row r="48" spans="1:16">
      <c r="A48" t="str">
        <f>"肺通气功能检查费-简易肺功能检查（减收）"</f>
        <v>肺通气功能检查费-简易肺功能检查（减收）</v>
      </c>
      <c r="B48" t="str">
        <f>"012407000020011"</f>
        <v>012407000020011</v>
      </c>
      <c r="C48" t="str">
        <f t="shared" si="1"/>
        <v>检查</v>
      </c>
      <c r="G48">
        <v>69</v>
      </c>
      <c r="I48" t="str">
        <f t="shared" si="16"/>
        <v>次</v>
      </c>
      <c r="K48" t="str">
        <f>"FTQGNJCFJYFGNJCJ"</f>
        <v>FTQGNJCFJYFGNJCJ</v>
      </c>
      <c r="L48" t="str">
        <f>"ECRACSSXTJEACSSU"</f>
        <v>ECRACSSXTJEACSSU</v>
      </c>
      <c r="M48">
        <v>69</v>
      </c>
      <c r="O48" t="str">
        <f t="shared" si="17"/>
        <v>次</v>
      </c>
      <c r="P48" t="str">
        <f t="shared" si="11"/>
        <v>检查费</v>
      </c>
    </row>
    <row r="49" spans="1:16">
      <c r="A49" t="str">
        <f>"睡眠呼吸监测费-便携睡眠呼吸监测（减收）"</f>
        <v>睡眠呼吸监测费-便携睡眠呼吸监测（减收）</v>
      </c>
      <c r="B49" t="str">
        <f>"012407000110001"</f>
        <v>012407000110001</v>
      </c>
      <c r="C49" t="str">
        <f t="shared" si="1"/>
        <v>检查</v>
      </c>
      <c r="G49">
        <v>60</v>
      </c>
      <c r="I49" t="str">
        <f t="shared" si="16"/>
        <v>次</v>
      </c>
      <c r="K49" t="str">
        <f>"SMHXJCFBXSMHXJCJ"</f>
        <v>SMHXJCFBXSMHXJCJ</v>
      </c>
      <c r="L49" t="str">
        <f>"HHKKJIXWRHHKKJIU"</f>
        <v>HHKKJIXWRHHKKJIU</v>
      </c>
      <c r="M49">
        <v>240</v>
      </c>
      <c r="O49" t="str">
        <f t="shared" si="17"/>
        <v>次</v>
      </c>
      <c r="P49" t="str">
        <f t="shared" si="11"/>
        <v>检查费</v>
      </c>
    </row>
    <row r="50" spans="1:16">
      <c r="A50" t="str">
        <f>"心电监测费"</f>
        <v>心电监测费</v>
      </c>
      <c r="B50" t="str">
        <f>"012408000020000"</f>
        <v>012408000020000</v>
      </c>
      <c r="C50" t="str">
        <f t="shared" si="1"/>
        <v>检查</v>
      </c>
      <c r="G50">
        <v>8</v>
      </c>
      <c r="K50" t="str">
        <f>"XDJCF"</f>
        <v>XDJCF</v>
      </c>
      <c r="L50" t="str">
        <f>"NJJIX"</f>
        <v>NJJIX</v>
      </c>
      <c r="M50">
        <v>8</v>
      </c>
      <c r="O50" t="str">
        <f>"小时"</f>
        <v>小时</v>
      </c>
      <c r="P50" t="str">
        <f t="shared" si="11"/>
        <v>检查费</v>
      </c>
    </row>
    <row r="51" spans="1:16">
      <c r="A51" t="str">
        <f>"常规心电图检查费"</f>
        <v>常规心电图检查费</v>
      </c>
      <c r="B51" t="str">
        <f>"012408000030000"</f>
        <v>012408000030000</v>
      </c>
      <c r="C51" t="str">
        <f t="shared" si="1"/>
        <v>检查</v>
      </c>
      <c r="G51">
        <v>36</v>
      </c>
      <c r="K51" t="str">
        <f>"CGXDTJCF"</f>
        <v>CGXDTJCF</v>
      </c>
      <c r="L51" t="str">
        <f>"IFNJLSSX"</f>
        <v>IFNJLSSX</v>
      </c>
      <c r="M51">
        <v>36</v>
      </c>
      <c r="O51" t="str">
        <f>"次"</f>
        <v>次</v>
      </c>
      <c r="P51" t="str">
        <f>"心电图"</f>
        <v>心电图</v>
      </c>
    </row>
    <row r="52" spans="1:16">
      <c r="A52" t="str">
        <f>"心率变异性分析检查费"</f>
        <v>心率变异性分析检查费</v>
      </c>
      <c r="B52" t="str">
        <f>"012408000040000"</f>
        <v>012408000040000</v>
      </c>
      <c r="C52" t="str">
        <f t="shared" si="1"/>
        <v>检查</v>
      </c>
      <c r="G52">
        <v>96</v>
      </c>
      <c r="I52" t="str">
        <f>"次"</f>
        <v>次</v>
      </c>
      <c r="K52" t="str">
        <f>"XLBYXFXJCF"</f>
        <v>XLBYXFXJCF</v>
      </c>
      <c r="L52" t="str">
        <f>"NYYNNWSSSX"</f>
        <v>NYYNNWSSSX</v>
      </c>
      <c r="M52">
        <v>96</v>
      </c>
      <c r="O52" t="str">
        <f>"次"</f>
        <v>次</v>
      </c>
      <c r="P52" t="str">
        <f t="shared" ref="P52:P57" si="18">"检查费"</f>
        <v>检查费</v>
      </c>
    </row>
    <row r="53" spans="1:16">
      <c r="A53" t="str">
        <f>"动态心电图检查费"</f>
        <v>动态心电图检查费</v>
      </c>
      <c r="B53" t="str">
        <f>"012408000060000"</f>
        <v>012408000060000</v>
      </c>
      <c r="C53" t="str">
        <f t="shared" si="1"/>
        <v>检查</v>
      </c>
      <c r="G53">
        <v>192</v>
      </c>
      <c r="K53" t="str">
        <f>"DTXDTJCF"</f>
        <v>DTXDTJCF</v>
      </c>
      <c r="L53" t="str">
        <f>"FDNJLSSX"</f>
        <v>FDNJLSSX</v>
      </c>
      <c r="M53">
        <v>192</v>
      </c>
      <c r="O53" t="str">
        <f>"日"</f>
        <v>日</v>
      </c>
      <c r="P53" t="str">
        <f>"心电图"</f>
        <v>心电图</v>
      </c>
    </row>
    <row r="54" spans="1:16">
      <c r="A54" t="str">
        <f>"无创动态血压监测费"</f>
        <v>无创动态血压监测费</v>
      </c>
      <c r="B54" t="str">
        <f>"012408000110000"</f>
        <v>012408000110000</v>
      </c>
      <c r="C54" t="str">
        <f t="shared" si="1"/>
        <v>检查</v>
      </c>
      <c r="G54">
        <v>144</v>
      </c>
      <c r="K54" t="str">
        <f>"WCDTXYJCF"</f>
        <v>WCDTXYJCF</v>
      </c>
      <c r="L54" t="str">
        <f>"FWFDTDJIX"</f>
        <v>FWFDTDJIX</v>
      </c>
      <c r="M54">
        <v>144</v>
      </c>
      <c r="O54" t="str">
        <f>"日"</f>
        <v>日</v>
      </c>
      <c r="P54" t="str">
        <f t="shared" si="18"/>
        <v>检查费</v>
      </c>
    </row>
    <row r="55" spans="1:16">
      <c r="A55" t="str">
        <f>"阴道镜检查费"</f>
        <v>阴道镜检查费</v>
      </c>
      <c r="B55" t="str">
        <f>"012413000010000"</f>
        <v>012413000010000</v>
      </c>
      <c r="C55" t="str">
        <f t="shared" si="1"/>
        <v>检查</v>
      </c>
      <c r="G55">
        <v>82</v>
      </c>
      <c r="I55">
        <v>1</v>
      </c>
      <c r="K55" t="str">
        <f>"YDJJCF"</f>
        <v>YDJJCF</v>
      </c>
      <c r="L55" t="str">
        <f>"BUQSSX"</f>
        <v>BUQSSX</v>
      </c>
      <c r="M55">
        <v>82</v>
      </c>
      <c r="O55" t="str">
        <f>"每次"</f>
        <v>每次</v>
      </c>
      <c r="P55" t="str">
        <f t="shared" si="18"/>
        <v>检查费</v>
      </c>
    </row>
    <row r="56" spans="1:16">
      <c r="A56" t="str">
        <f>"宫颈内口检查费"</f>
        <v>宫颈内口检查费</v>
      </c>
      <c r="B56" t="str">
        <f>"012413000020000"</f>
        <v>012413000020000</v>
      </c>
      <c r="C56" t="str">
        <f t="shared" si="1"/>
        <v>检查</v>
      </c>
      <c r="G56">
        <v>52</v>
      </c>
      <c r="I56">
        <v>1</v>
      </c>
      <c r="K56" t="str">
        <f>"GJNKJCF"</f>
        <v>GJNKJCF</v>
      </c>
      <c r="L56" t="str">
        <f>"PCMKSSX"</f>
        <v>PCMKSSX</v>
      </c>
      <c r="M56">
        <v>52</v>
      </c>
      <c r="O56" t="str">
        <f>"每次"</f>
        <v>每次</v>
      </c>
      <c r="P56" t="str">
        <f t="shared" si="18"/>
        <v>检查费</v>
      </c>
    </row>
    <row r="57" spans="1:16">
      <c r="A57" t="str">
        <f>"骨密度测定（超声）"</f>
        <v>骨密度测定（超声）</v>
      </c>
      <c r="B57" t="str">
        <f>"012415000010000-1"</f>
        <v>012415000010000-1</v>
      </c>
      <c r="C57" t="str">
        <f t="shared" si="1"/>
        <v>检查</v>
      </c>
      <c r="G57">
        <v>40</v>
      </c>
      <c r="K57" t="str">
        <f>"GMDCDCS"</f>
        <v>GMDCDCS</v>
      </c>
      <c r="L57" t="str">
        <f>"MPYIPFF"</f>
        <v>MPYIPFF</v>
      </c>
      <c r="M57">
        <v>40</v>
      </c>
      <c r="O57" t="str">
        <f>"次"</f>
        <v>次</v>
      </c>
      <c r="P57" t="str">
        <f t="shared" si="18"/>
        <v>检查费</v>
      </c>
    </row>
    <row r="58" spans="1:16">
      <c r="A58" t="str">
        <f>"睑板腺治疗费"</f>
        <v>睑板腺治疗费</v>
      </c>
      <c r="B58" t="str">
        <f>"013103000030000"</f>
        <v>013103000030000</v>
      </c>
      <c r="C58" t="str">
        <f t="shared" ref="C58:C121" si="19">"治疗"</f>
        <v>治疗</v>
      </c>
      <c r="G58">
        <v>15</v>
      </c>
      <c r="K58" t="str">
        <f>"JBXZLF"</f>
        <v>JBXZLF</v>
      </c>
      <c r="L58" t="str">
        <f>"HSEIUX"</f>
        <v>HSEIUX</v>
      </c>
      <c r="M58">
        <v>15</v>
      </c>
      <c r="O58" t="str">
        <f>"【未知代码:单睑】"</f>
        <v>【未知代码:单睑】</v>
      </c>
      <c r="P58" t="str">
        <f t="shared" ref="P58:P121" si="20">"治疗费"</f>
        <v>治疗费</v>
      </c>
    </row>
    <row r="59" spans="1:16">
      <c r="A59" t="str">
        <f>"泪道冲洗费"</f>
        <v>泪道冲洗费</v>
      </c>
      <c r="B59" t="str">
        <f>"013103000050000"</f>
        <v>013103000050000</v>
      </c>
      <c r="C59" t="str">
        <f t="shared" si="19"/>
        <v>治疗</v>
      </c>
      <c r="G59">
        <v>4</v>
      </c>
      <c r="K59" t="str">
        <f>"LDCXF"</f>
        <v>LDCXF</v>
      </c>
      <c r="L59" t="str">
        <f>"IUUIX"</f>
        <v>IUUIX</v>
      </c>
      <c r="M59">
        <v>4</v>
      </c>
      <c r="O59" t="str">
        <f t="shared" ref="O59:O76" si="21">"单侧"</f>
        <v>单侧</v>
      </c>
      <c r="P59" t="str">
        <f t="shared" si="20"/>
        <v>治疗费</v>
      </c>
    </row>
    <row r="60" spans="1:16">
      <c r="A60" t="str">
        <f>"结膜囊冲洗费"</f>
        <v>结膜囊冲洗费</v>
      </c>
      <c r="B60" t="str">
        <f>"013103000060000"</f>
        <v>013103000060000</v>
      </c>
      <c r="C60" t="str">
        <f t="shared" si="19"/>
        <v>治疗</v>
      </c>
      <c r="G60">
        <v>7</v>
      </c>
      <c r="K60" t="str">
        <f>"JMNCXF"</f>
        <v>JMNCXF</v>
      </c>
      <c r="L60" t="str">
        <f>"XEGUIX"</f>
        <v>XEGUIX</v>
      </c>
      <c r="M60">
        <v>7</v>
      </c>
      <c r="O60" t="str">
        <f t="shared" si="21"/>
        <v>单侧</v>
      </c>
      <c r="P60" t="str">
        <f t="shared" si="20"/>
        <v>治疗费</v>
      </c>
    </row>
    <row r="61" spans="1:16">
      <c r="A61" t="str">
        <f>"角膜/结膜异物取出费"</f>
        <v>角膜/结膜异物取出费</v>
      </c>
      <c r="B61" t="str">
        <f>"013103000070000"</f>
        <v>013103000070000</v>
      </c>
      <c r="C61" t="str">
        <f t="shared" si="19"/>
        <v>治疗</v>
      </c>
      <c r="G61">
        <v>20</v>
      </c>
      <c r="K61" t="str">
        <f>"JMJMYWQCF"</f>
        <v>JMJMYWQCF</v>
      </c>
      <c r="L61" t="str">
        <f>"QEXENTBBX"</f>
        <v>QEXENTBBX</v>
      </c>
      <c r="M61">
        <v>20</v>
      </c>
      <c r="O61" t="str">
        <f t="shared" si="21"/>
        <v>单侧</v>
      </c>
      <c r="P61" t="str">
        <f t="shared" si="20"/>
        <v>治疗费</v>
      </c>
    </row>
    <row r="62" spans="1:16">
      <c r="A62" t="str">
        <f>"角膜/结膜异物取出费-倒睫拔除费（扩展）"</f>
        <v>角膜/结膜异物取出费-倒睫拔除费（扩展）</v>
      </c>
      <c r="B62" t="str">
        <f>"013103000070100"</f>
        <v>013103000070100</v>
      </c>
      <c r="C62" t="str">
        <f t="shared" si="19"/>
        <v>治疗</v>
      </c>
      <c r="G62">
        <v>20</v>
      </c>
      <c r="K62" t="str">
        <f>"JMJMYWQCFDJBCFKZ"</f>
        <v>JMJMYWQCFDJBCFKZ</v>
      </c>
      <c r="L62" t="str">
        <f>"QEXENTBBXWHRBXRN"</f>
        <v>QEXENTBBXWHRBXRN</v>
      </c>
      <c r="M62">
        <v>20</v>
      </c>
      <c r="O62" t="str">
        <f t="shared" si="21"/>
        <v>单侧</v>
      </c>
      <c r="P62" t="str">
        <f t="shared" si="20"/>
        <v>治疗费</v>
      </c>
    </row>
    <row r="63" spans="1:16">
      <c r="A63" t="str">
        <f>"电解倒睫费"</f>
        <v>电解倒睫费</v>
      </c>
      <c r="B63" t="str">
        <f>"013103000080000"</f>
        <v>013103000080000</v>
      </c>
      <c r="C63" t="str">
        <f t="shared" si="19"/>
        <v>治疗</v>
      </c>
      <c r="G63">
        <v>15</v>
      </c>
      <c r="K63" t="str">
        <f>"DJDJF"</f>
        <v>DJDJF</v>
      </c>
      <c r="L63" t="str">
        <f>"JQWHX"</f>
        <v>JQWHX</v>
      </c>
      <c r="M63">
        <v>15</v>
      </c>
      <c r="O63" t="str">
        <f t="shared" si="21"/>
        <v>单侧</v>
      </c>
      <c r="P63" t="str">
        <f t="shared" si="20"/>
        <v>治疗费</v>
      </c>
    </row>
    <row r="64" spans="1:16">
      <c r="A64" t="str">
        <f>"无创外耳道异物取出费"</f>
        <v>无创外耳道异物取出费</v>
      </c>
      <c r="B64" t="str">
        <f>"013104010040000"</f>
        <v>013104010040000</v>
      </c>
      <c r="C64" t="str">
        <f t="shared" si="19"/>
        <v>治疗</v>
      </c>
      <c r="G64">
        <v>35</v>
      </c>
      <c r="K64" t="str">
        <f>"WCWEDYWQCF"</f>
        <v>WCWEDYWQCF</v>
      </c>
      <c r="L64" t="str">
        <f>"FWQBUNTBBX"</f>
        <v>FWQBUNTBBX</v>
      </c>
      <c r="M64">
        <v>35</v>
      </c>
      <c r="O64" t="str">
        <f t="shared" si="21"/>
        <v>单侧</v>
      </c>
      <c r="P64" t="str">
        <f t="shared" si="20"/>
        <v>治疗费</v>
      </c>
    </row>
    <row r="65" spans="1:16">
      <c r="A65" t="str">
        <f>"耵聍取出"</f>
        <v>耵聍取出</v>
      </c>
      <c r="B65" t="str">
        <f>"013104010040000-1"</f>
        <v>013104010040000-1</v>
      </c>
      <c r="C65" t="str">
        <f t="shared" si="19"/>
        <v>治疗</v>
      </c>
      <c r="G65">
        <v>13</v>
      </c>
      <c r="K65" t="str">
        <f>"DNQC"</f>
        <v>DNQC</v>
      </c>
      <c r="L65" t="str">
        <f>"BBBB"</f>
        <v>BBBB</v>
      </c>
      <c r="M65">
        <v>13</v>
      </c>
      <c r="O65" t="str">
        <f t="shared" si="21"/>
        <v>单侧</v>
      </c>
      <c r="P65" t="str">
        <f t="shared" si="20"/>
        <v>治疗费</v>
      </c>
    </row>
    <row r="66" spans="1:16">
      <c r="A66" t="str">
        <f>"无创外耳道异物取出费-儿童（加收）"</f>
        <v>无创外耳道异物取出费-儿童（加收）</v>
      </c>
      <c r="B66" t="str">
        <f>"013104010040001"</f>
        <v>013104010040001</v>
      </c>
      <c r="C66" t="str">
        <f t="shared" si="19"/>
        <v>治疗</v>
      </c>
      <c r="G66">
        <v>10.5</v>
      </c>
      <c r="K66" t="str">
        <f>"WCWEDYWQCFETJS"</f>
        <v>WCWEDYWQCFETJS</v>
      </c>
      <c r="L66" t="str">
        <f>"FWQBUNTBBXQULN"</f>
        <v>FWQBUNTBBXQULN</v>
      </c>
      <c r="M66">
        <v>10.5</v>
      </c>
      <c r="O66" t="str">
        <f t="shared" si="21"/>
        <v>单侧</v>
      </c>
      <c r="P66" t="str">
        <f t="shared" si="20"/>
        <v>治疗费</v>
      </c>
    </row>
    <row r="67" spans="1:16">
      <c r="A67" t="str">
        <f>"耳部治疗费（常规）"</f>
        <v>耳部治疗费（常规）</v>
      </c>
      <c r="B67" t="str">
        <f>"013104010050000"</f>
        <v>013104010050000</v>
      </c>
      <c r="C67" t="str">
        <f t="shared" si="19"/>
        <v>治疗</v>
      </c>
      <c r="G67">
        <v>45</v>
      </c>
      <c r="K67" t="str">
        <f>"EBZLFCG"</f>
        <v>EBZLFCG</v>
      </c>
      <c r="L67" t="str">
        <f>"BUIUXIF"</f>
        <v>BUIUXIF</v>
      </c>
      <c r="M67">
        <v>45</v>
      </c>
      <c r="O67" t="str">
        <f t="shared" si="21"/>
        <v>单侧</v>
      </c>
      <c r="P67" t="str">
        <f t="shared" si="20"/>
        <v>治疗费</v>
      </c>
    </row>
    <row r="68" spans="1:16">
      <c r="A68" t="str">
        <f>"耳部治疗费（常规）-儿童（加收）"</f>
        <v>耳部治疗费（常规）-儿童（加收）</v>
      </c>
      <c r="B68" t="str">
        <f>"013104010050001"</f>
        <v>013104010050001</v>
      </c>
      <c r="C68" t="str">
        <f t="shared" si="19"/>
        <v>治疗</v>
      </c>
      <c r="G68">
        <v>13.5</v>
      </c>
      <c r="K68" t="str">
        <f>"EBZLFCGETJS"</f>
        <v>EBZLFCGETJS</v>
      </c>
      <c r="L68" t="str">
        <f>"BUIUXIFQULN"</f>
        <v>BUIUXIFQULN</v>
      </c>
      <c r="M68">
        <v>13.5</v>
      </c>
      <c r="O68" t="str">
        <f t="shared" si="21"/>
        <v>单侧</v>
      </c>
      <c r="P68" t="str">
        <f t="shared" si="20"/>
        <v>治疗费</v>
      </c>
    </row>
    <row r="69" spans="1:16">
      <c r="A69" t="str">
        <f>"耳部治疗费（特殊）"</f>
        <v>耳部治疗费（特殊）</v>
      </c>
      <c r="B69" t="str">
        <f>"013104010060000"</f>
        <v>013104010060000</v>
      </c>
      <c r="C69" t="str">
        <f t="shared" si="19"/>
        <v>治疗</v>
      </c>
      <c r="G69">
        <v>68</v>
      </c>
      <c r="K69" t="str">
        <f>"EBZLFTS"</f>
        <v>EBZLFTS</v>
      </c>
      <c r="L69" t="str">
        <f>"BUIUXTG"</f>
        <v>BUIUXTG</v>
      </c>
      <c r="M69">
        <v>68</v>
      </c>
      <c r="O69" t="str">
        <f t="shared" si="21"/>
        <v>单侧</v>
      </c>
      <c r="P69" t="str">
        <f t="shared" si="20"/>
        <v>治疗费</v>
      </c>
    </row>
    <row r="70" spans="1:16">
      <c r="A70" t="str">
        <f>"耳部治疗费（特殊）-儿童（加收）"</f>
        <v>耳部治疗费（特殊）-儿童（加收）</v>
      </c>
      <c r="B70" t="str">
        <f>"013104010060001"</f>
        <v>013104010060001</v>
      </c>
      <c r="C70" t="str">
        <f t="shared" si="19"/>
        <v>治疗</v>
      </c>
      <c r="G70">
        <v>20.4</v>
      </c>
      <c r="K70" t="str">
        <f>"EBZLFTSETJS"</f>
        <v>EBZLFTSETJS</v>
      </c>
      <c r="L70" t="str">
        <f>"BUIUXTGQULN"</f>
        <v>BUIUXTGQULN</v>
      </c>
      <c r="M70">
        <v>20.4</v>
      </c>
      <c r="O70" t="str">
        <f t="shared" si="21"/>
        <v>单侧</v>
      </c>
      <c r="P70" t="str">
        <f t="shared" si="20"/>
        <v>治疗费</v>
      </c>
    </row>
    <row r="71" spans="1:16">
      <c r="A71" t="str">
        <f>"穿刺费（鼓膜）"</f>
        <v>穿刺费（鼓膜）</v>
      </c>
      <c r="B71" t="str">
        <f>"013104010070000"</f>
        <v>013104010070000</v>
      </c>
      <c r="C71" t="str">
        <f t="shared" si="19"/>
        <v>治疗</v>
      </c>
      <c r="G71">
        <v>59</v>
      </c>
      <c r="K71" t="str">
        <f>"CCFGM"</f>
        <v>CCFGM</v>
      </c>
      <c r="L71" t="str">
        <f>"PGXFE"</f>
        <v>PGXFE</v>
      </c>
      <c r="M71">
        <v>59</v>
      </c>
      <c r="O71" t="str">
        <f t="shared" si="21"/>
        <v>单侧</v>
      </c>
      <c r="P71" t="str">
        <f t="shared" si="20"/>
        <v>治疗费</v>
      </c>
    </row>
    <row r="72" spans="1:16">
      <c r="A72" t="str">
        <f>"穿刺费（鼓膜）-儿童（加收）"</f>
        <v>穿刺费（鼓膜）-儿童（加收）</v>
      </c>
      <c r="B72" t="str">
        <f>"013104010070001"</f>
        <v>013104010070001</v>
      </c>
      <c r="C72" t="str">
        <f t="shared" si="19"/>
        <v>治疗</v>
      </c>
      <c r="G72">
        <v>17.7</v>
      </c>
      <c r="K72" t="str">
        <f>"CCFGMETJS"</f>
        <v>CCFGMETJS</v>
      </c>
      <c r="L72" t="str">
        <f>"PGXFEQULN"</f>
        <v>PGXFEQULN</v>
      </c>
      <c r="M72">
        <v>17.7</v>
      </c>
      <c r="O72" t="str">
        <f t="shared" si="21"/>
        <v>单侧</v>
      </c>
      <c r="P72" t="str">
        <f t="shared" si="20"/>
        <v>治疗费</v>
      </c>
    </row>
    <row r="73" spans="1:16">
      <c r="A73" t="str">
        <f>"耳道冲洗费"</f>
        <v>耳道冲洗费</v>
      </c>
      <c r="B73" t="str">
        <f>"013104010080000"</f>
        <v>013104010080000</v>
      </c>
      <c r="C73" t="str">
        <f t="shared" si="19"/>
        <v>治疗</v>
      </c>
      <c r="G73">
        <v>6</v>
      </c>
      <c r="K73" t="str">
        <f>"EDCXF"</f>
        <v>EDCXF</v>
      </c>
      <c r="L73" t="str">
        <f>"BUUIX"</f>
        <v>BUUIX</v>
      </c>
      <c r="M73">
        <v>6</v>
      </c>
      <c r="O73" t="str">
        <f t="shared" si="21"/>
        <v>单侧</v>
      </c>
      <c r="P73" t="str">
        <f t="shared" si="20"/>
        <v>治疗费</v>
      </c>
    </row>
    <row r="74" spans="1:16">
      <c r="A74" t="str">
        <f>"咽鼓管吹张治疗费"</f>
        <v>咽鼓管吹张治疗费</v>
      </c>
      <c r="B74" t="str">
        <f>"013104010100000"</f>
        <v>013104010100000</v>
      </c>
      <c r="C74" t="str">
        <f t="shared" si="19"/>
        <v>治疗</v>
      </c>
      <c r="G74">
        <v>10</v>
      </c>
      <c r="K74" t="str">
        <f>"YGGCZZLF"</f>
        <v>YGGCZZLF</v>
      </c>
      <c r="L74" t="str">
        <f>"KFTKXIUX"</f>
        <v>KFTKXIUX</v>
      </c>
      <c r="M74">
        <v>10</v>
      </c>
      <c r="O74" t="str">
        <f t="shared" si="21"/>
        <v>单侧</v>
      </c>
      <c r="P74" t="str">
        <f t="shared" si="20"/>
        <v>治疗费</v>
      </c>
    </row>
    <row r="75" spans="1:16">
      <c r="A75" t="str">
        <f>"鼻腔异物取出费"</f>
        <v>鼻腔异物取出费</v>
      </c>
      <c r="B75" t="str">
        <f>"013104020010000"</f>
        <v>013104020010000</v>
      </c>
      <c r="C75" t="str">
        <f t="shared" si="19"/>
        <v>治疗</v>
      </c>
      <c r="G75">
        <v>47</v>
      </c>
      <c r="K75" t="str">
        <f>"BQYWQCF"</f>
        <v>BQYWQCF</v>
      </c>
      <c r="L75" t="str">
        <f>"TENTBBX"</f>
        <v>TENTBBX</v>
      </c>
      <c r="M75">
        <v>47</v>
      </c>
      <c r="O75" t="str">
        <f t="shared" si="21"/>
        <v>单侧</v>
      </c>
      <c r="P75" t="str">
        <f t="shared" si="20"/>
        <v>治疗费</v>
      </c>
    </row>
    <row r="76" spans="1:16">
      <c r="A76" t="str">
        <f>"鼻腔异物取出费-儿童（加收）"</f>
        <v>鼻腔异物取出费-儿童（加收）</v>
      </c>
      <c r="B76" t="str">
        <f>"013104020010001"</f>
        <v>013104020010001</v>
      </c>
      <c r="C76" t="str">
        <f t="shared" si="19"/>
        <v>治疗</v>
      </c>
      <c r="G76">
        <v>14.1</v>
      </c>
      <c r="K76" t="str">
        <f>"BQYWQCFETJS"</f>
        <v>BQYWQCFETJS</v>
      </c>
      <c r="L76" t="str">
        <f>"TENTBBXQULN"</f>
        <v>TENTBBXQULN</v>
      </c>
      <c r="M76">
        <v>14.1</v>
      </c>
      <c r="O76" t="str">
        <f t="shared" si="21"/>
        <v>单侧</v>
      </c>
      <c r="P76" t="str">
        <f t="shared" si="20"/>
        <v>治疗费</v>
      </c>
    </row>
    <row r="77" spans="1:16">
      <c r="A77" t="str">
        <f>"鼻部治疗费（常规）"</f>
        <v>鼻部治疗费（常规）</v>
      </c>
      <c r="B77" t="str">
        <f>"013104020050000"</f>
        <v>013104020050000</v>
      </c>
      <c r="C77" t="str">
        <f t="shared" si="19"/>
        <v>治疗</v>
      </c>
      <c r="G77">
        <v>32</v>
      </c>
      <c r="K77" t="str">
        <f>"BBZLFCG"</f>
        <v>BBZLFCG</v>
      </c>
      <c r="L77" t="str">
        <f>"TUIUXIF"</f>
        <v>TUIUXIF</v>
      </c>
      <c r="M77">
        <v>32</v>
      </c>
      <c r="O77" t="str">
        <f t="shared" ref="O77:O86" si="22">"次"</f>
        <v>次</v>
      </c>
      <c r="P77" t="str">
        <f t="shared" si="20"/>
        <v>治疗费</v>
      </c>
    </row>
    <row r="78" spans="1:16">
      <c r="A78" t="str">
        <f>"鼻部治疗费（常规）-儿童（加收）"</f>
        <v>鼻部治疗费（常规）-儿童（加收）</v>
      </c>
      <c r="B78" t="str">
        <f>"013104020050001"</f>
        <v>013104020050001</v>
      </c>
      <c r="C78" t="str">
        <f t="shared" si="19"/>
        <v>治疗</v>
      </c>
      <c r="G78">
        <v>9.6</v>
      </c>
      <c r="K78" t="str">
        <f>"BBZLFCGETJS"</f>
        <v>BBZLFCGETJS</v>
      </c>
      <c r="L78" t="str">
        <f>"TUIUXIFQULN"</f>
        <v>TUIUXIFQULN</v>
      </c>
      <c r="M78">
        <v>9.6</v>
      </c>
      <c r="O78" t="str">
        <f t="shared" si="22"/>
        <v>次</v>
      </c>
      <c r="P78" t="str">
        <f t="shared" si="20"/>
        <v>治疗费</v>
      </c>
    </row>
    <row r="79" spans="1:16">
      <c r="A79" t="str">
        <f>"鼻部治疗费（常规）-后鼻腔止血（加收）"</f>
        <v>鼻部治疗费（常规）-后鼻腔止血（加收）</v>
      </c>
      <c r="B79" t="str">
        <f>"013104020050011"</f>
        <v>013104020050011</v>
      </c>
      <c r="C79" t="str">
        <f t="shared" si="19"/>
        <v>治疗</v>
      </c>
      <c r="G79">
        <v>6</v>
      </c>
      <c r="K79" t="str">
        <f>"BBZLFCGHBQZXJS"</f>
        <v>BBZLFCGHBQZXJS</v>
      </c>
      <c r="L79" t="str">
        <f>"TUIUXIFRTEHTLN"</f>
        <v>TUIUXIFRTEHTLN</v>
      </c>
      <c r="M79">
        <v>6</v>
      </c>
      <c r="O79" t="str">
        <f t="shared" si="22"/>
        <v>次</v>
      </c>
      <c r="P79" t="str">
        <f t="shared" si="20"/>
        <v>治疗费</v>
      </c>
    </row>
    <row r="80" spans="1:16">
      <c r="A80" t="str">
        <f>"异物取出费（口咽部）"</f>
        <v>异物取出费（口咽部）</v>
      </c>
      <c r="B80" t="str">
        <f>"013104020070000"</f>
        <v>013104020070000</v>
      </c>
      <c r="C80" t="str">
        <f t="shared" si="19"/>
        <v>治疗</v>
      </c>
      <c r="G80">
        <v>13</v>
      </c>
      <c r="K80" t="str">
        <f>"YWQCFKYB"</f>
        <v>YWQCFKYB</v>
      </c>
      <c r="L80" t="str">
        <f>"NTBBXKKU"</f>
        <v>NTBBXKKU</v>
      </c>
      <c r="M80">
        <v>13</v>
      </c>
      <c r="O80" t="str">
        <f t="shared" si="22"/>
        <v>次</v>
      </c>
      <c r="P80" t="str">
        <f t="shared" si="20"/>
        <v>治疗费</v>
      </c>
    </row>
    <row r="81" spans="1:16">
      <c r="A81" t="str">
        <f>"异物取出费（口咽部）-儿童（加收）"</f>
        <v>异物取出费（口咽部）-儿童（加收）</v>
      </c>
      <c r="B81" t="str">
        <f>"013104020070001"</f>
        <v>013104020070001</v>
      </c>
      <c r="C81" t="str">
        <f t="shared" si="19"/>
        <v>治疗</v>
      </c>
      <c r="G81">
        <v>3.9</v>
      </c>
      <c r="K81" t="str">
        <f>"YWQCFKYBETJS"</f>
        <v>YWQCFKYBETJS</v>
      </c>
      <c r="L81" t="str">
        <f>"NTBBXKKUQULN"</f>
        <v>NTBBXKKUQULN</v>
      </c>
      <c r="M81">
        <v>3.9</v>
      </c>
      <c r="O81" t="str">
        <f t="shared" si="22"/>
        <v>次</v>
      </c>
      <c r="P81" t="str">
        <f t="shared" si="20"/>
        <v>治疗费</v>
      </c>
    </row>
    <row r="82" spans="1:16">
      <c r="A82" t="str">
        <f>"咽喉部治疗费（常规）"</f>
        <v>咽喉部治疗费（常规）</v>
      </c>
      <c r="B82" t="str">
        <f>"013104020080000"</f>
        <v>013104020080000</v>
      </c>
      <c r="C82" t="str">
        <f t="shared" si="19"/>
        <v>治疗</v>
      </c>
      <c r="G82">
        <v>26</v>
      </c>
      <c r="K82" t="str">
        <f>"YHBZLFCG"</f>
        <v>YHBZLFCG</v>
      </c>
      <c r="L82" t="str">
        <f>"KKUIUXIF"</f>
        <v>KKUIUXIF</v>
      </c>
      <c r="M82">
        <v>26</v>
      </c>
      <c r="O82" t="str">
        <f t="shared" si="22"/>
        <v>次</v>
      </c>
      <c r="P82" t="str">
        <f t="shared" si="20"/>
        <v>治疗费</v>
      </c>
    </row>
    <row r="83" spans="1:16">
      <c r="A83" t="str">
        <f>"咽喉部治疗费（常规）-儿童（加收）"</f>
        <v>咽喉部治疗费（常规）-儿童（加收）</v>
      </c>
      <c r="B83" t="str">
        <f>"013104020080001"</f>
        <v>013104020080001</v>
      </c>
      <c r="C83" t="str">
        <f t="shared" si="19"/>
        <v>治疗</v>
      </c>
      <c r="G83">
        <v>7.8</v>
      </c>
      <c r="K83" t="str">
        <f>"YHBZLFCGETJS"</f>
        <v>YHBZLFCGETJS</v>
      </c>
      <c r="L83" t="str">
        <f>"KKUIUXIFQULN"</f>
        <v>KKUIUXIFQULN</v>
      </c>
      <c r="M83">
        <v>7.8</v>
      </c>
      <c r="O83" t="str">
        <f t="shared" si="22"/>
        <v>次</v>
      </c>
      <c r="P83" t="str">
        <f t="shared" si="20"/>
        <v>治疗费</v>
      </c>
    </row>
    <row r="84" spans="1:16">
      <c r="A84" t="str">
        <f>"咽喉部治疗费（特殊）"</f>
        <v>咽喉部治疗费（特殊）</v>
      </c>
      <c r="B84" t="str">
        <f>"013104020090000"</f>
        <v>013104020090000</v>
      </c>
      <c r="C84" t="str">
        <f t="shared" si="19"/>
        <v>治疗</v>
      </c>
      <c r="G84">
        <v>39</v>
      </c>
      <c r="K84" t="str">
        <f>"YHBZLFTS"</f>
        <v>YHBZLFTS</v>
      </c>
      <c r="L84" t="str">
        <f>"KKUIUXTG"</f>
        <v>KKUIUXTG</v>
      </c>
      <c r="M84">
        <v>39</v>
      </c>
      <c r="O84" t="str">
        <f t="shared" si="22"/>
        <v>次</v>
      </c>
      <c r="P84" t="str">
        <f t="shared" si="20"/>
        <v>治疗费</v>
      </c>
    </row>
    <row r="85" spans="1:16">
      <c r="A85" t="str">
        <f>"咽喉部治疗费（特殊）-儿童（加收）"</f>
        <v>咽喉部治疗费（特殊）-儿童（加收）</v>
      </c>
      <c r="B85" t="str">
        <f>"013104020090001"</f>
        <v>013104020090001</v>
      </c>
      <c r="C85" t="str">
        <f t="shared" si="19"/>
        <v>治疗</v>
      </c>
      <c r="G85">
        <v>11.7</v>
      </c>
      <c r="K85" t="str">
        <f>"YHBZLFTSETJS"</f>
        <v>YHBZLFTSETJS</v>
      </c>
      <c r="L85" t="str">
        <f>"KKUIUXTGQULN"</f>
        <v>KKUIUXTGQULN</v>
      </c>
      <c r="M85">
        <v>11.7</v>
      </c>
      <c r="O85" t="str">
        <f t="shared" si="22"/>
        <v>次</v>
      </c>
      <c r="P85" t="str">
        <f t="shared" si="20"/>
        <v>治疗费</v>
      </c>
    </row>
    <row r="86" spans="1:16">
      <c r="A86" t="str">
        <f>"橡皮障隔离费"</f>
        <v>橡皮障隔离费</v>
      </c>
      <c r="B86" t="str">
        <f>"013105010010000"</f>
        <v>013105010010000</v>
      </c>
      <c r="C86" t="str">
        <f t="shared" si="19"/>
        <v>治疗</v>
      </c>
      <c r="G86">
        <v>20</v>
      </c>
      <c r="K86" t="str">
        <f>"XPZGLF"</f>
        <v>XPZGLF</v>
      </c>
      <c r="L86" t="str">
        <f>"SHBBYX"</f>
        <v>SHBBYX</v>
      </c>
      <c r="M86">
        <v>20</v>
      </c>
      <c r="O86" t="str">
        <f t="shared" si="22"/>
        <v>次</v>
      </c>
      <c r="P86" t="str">
        <f t="shared" si="20"/>
        <v>治疗费</v>
      </c>
    </row>
    <row r="87" spans="1:16">
      <c r="A87" t="str">
        <f>"牙体开髓引流费"</f>
        <v>牙体开髓引流费</v>
      </c>
      <c r="B87" t="str">
        <f>"013105010020000"</f>
        <v>013105010020000</v>
      </c>
      <c r="C87" t="str">
        <f t="shared" si="19"/>
        <v>治疗</v>
      </c>
      <c r="G87">
        <v>64</v>
      </c>
      <c r="K87" t="str">
        <f>"YTKSYLF"</f>
        <v>YTKSYLF</v>
      </c>
      <c r="L87" t="str">
        <f>"AWGMXIX"</f>
        <v>AWGMXIX</v>
      </c>
      <c r="M87">
        <v>64</v>
      </c>
      <c r="O87" t="str">
        <f t="shared" ref="O87:O91" si="23">"每牙"</f>
        <v>每牙</v>
      </c>
      <c r="P87" t="str">
        <f t="shared" si="20"/>
        <v>治疗费</v>
      </c>
    </row>
    <row r="88" spans="1:16">
      <c r="A88" t="str">
        <f>"牙体开髓引流费-儿童（加收）"</f>
        <v>牙体开髓引流费-儿童（加收）</v>
      </c>
      <c r="B88" t="str">
        <f>"013105010020001"</f>
        <v>013105010020001</v>
      </c>
      <c r="C88" t="str">
        <f t="shared" si="19"/>
        <v>治疗</v>
      </c>
      <c r="G88">
        <v>19.2</v>
      </c>
      <c r="K88" t="str">
        <f>"YTKSYLFETJS"</f>
        <v>YTKSYLFETJS</v>
      </c>
      <c r="L88" t="str">
        <f>"AWGMXIXQULN"</f>
        <v>AWGMXIXQULN</v>
      </c>
      <c r="M88">
        <v>19.2</v>
      </c>
      <c r="O88" t="str">
        <f t="shared" si="23"/>
        <v>每牙</v>
      </c>
      <c r="P88" t="str">
        <f t="shared" si="20"/>
        <v>治疗费</v>
      </c>
    </row>
    <row r="89" spans="1:16">
      <c r="A89" t="str">
        <f>"牙髓失活费"</f>
        <v>牙髓失活费</v>
      </c>
      <c r="B89" t="str">
        <f>"013105010030000"</f>
        <v>013105010030000</v>
      </c>
      <c r="C89" t="str">
        <f t="shared" si="19"/>
        <v>治疗</v>
      </c>
      <c r="G89">
        <v>28</v>
      </c>
      <c r="K89" t="str">
        <f>"YSSHF"</f>
        <v>YSSHF</v>
      </c>
      <c r="L89" t="str">
        <f>"AMRIX"</f>
        <v>AMRIX</v>
      </c>
      <c r="M89">
        <v>28</v>
      </c>
      <c r="O89" t="str">
        <f t="shared" si="23"/>
        <v>每牙</v>
      </c>
      <c r="P89" t="str">
        <f t="shared" si="20"/>
        <v>治疗费</v>
      </c>
    </row>
    <row r="90" spans="1:16">
      <c r="A90" t="str">
        <f>"牙髓失活费-儿童（加收）"</f>
        <v>牙髓失活费-儿童（加收）</v>
      </c>
      <c r="B90" t="str">
        <f>"013105010030001"</f>
        <v>013105010030001</v>
      </c>
      <c r="C90" t="str">
        <f t="shared" si="19"/>
        <v>治疗</v>
      </c>
      <c r="G90">
        <v>8.4</v>
      </c>
      <c r="K90" t="str">
        <f>"YSSHFETJS"</f>
        <v>YSSHFETJS</v>
      </c>
      <c r="L90" t="str">
        <f>"AMRIXQULN"</f>
        <v>AMRIXQULN</v>
      </c>
      <c r="M90">
        <v>8.4</v>
      </c>
      <c r="O90" t="str">
        <f t="shared" si="23"/>
        <v>每牙</v>
      </c>
      <c r="P90" t="str">
        <f t="shared" si="20"/>
        <v>治疗费</v>
      </c>
    </row>
    <row r="91" spans="1:16">
      <c r="A91" t="str">
        <f>"干髓治疗费"</f>
        <v>干髓治疗费</v>
      </c>
      <c r="B91" t="str">
        <f>"013105010040000"</f>
        <v>013105010040000</v>
      </c>
      <c r="C91" t="str">
        <f t="shared" si="19"/>
        <v>治疗</v>
      </c>
      <c r="G91">
        <v>16</v>
      </c>
      <c r="K91" t="str">
        <f>"GSZLF"</f>
        <v>GSZLF</v>
      </c>
      <c r="L91" t="str">
        <f>"FMIUX"</f>
        <v>FMIUX</v>
      </c>
      <c r="M91">
        <v>16</v>
      </c>
      <c r="O91" t="str">
        <f t="shared" si="23"/>
        <v>每牙</v>
      </c>
      <c r="P91" t="str">
        <f t="shared" si="20"/>
        <v>治疗费</v>
      </c>
    </row>
    <row r="92" spans="1:16">
      <c r="A92" t="str">
        <f>"根管预备费"</f>
        <v>根管预备费</v>
      </c>
      <c r="B92" t="str">
        <f>"013105010050000"</f>
        <v>013105010050000</v>
      </c>
      <c r="C92" t="str">
        <f t="shared" si="19"/>
        <v>治疗</v>
      </c>
      <c r="G92">
        <v>90</v>
      </c>
      <c r="K92" t="str">
        <f>"GGYBF"</f>
        <v>GGYBF</v>
      </c>
      <c r="L92" t="str">
        <f>"STCTX"</f>
        <v>STCTX</v>
      </c>
      <c r="M92">
        <v>178</v>
      </c>
      <c r="O92" t="str">
        <f t="shared" ref="O92:O103" si="24">"每根管"</f>
        <v>每根管</v>
      </c>
      <c r="P92" t="str">
        <f t="shared" si="20"/>
        <v>治疗费</v>
      </c>
    </row>
    <row r="93" spans="1:16">
      <c r="A93" t="str">
        <f>"根管预备费-儿童（加收）"</f>
        <v>根管预备费-儿童（加收）</v>
      </c>
      <c r="B93" t="str">
        <f>"013105010050001"</f>
        <v>013105010050001</v>
      </c>
      <c r="C93" t="str">
        <f t="shared" si="19"/>
        <v>治疗</v>
      </c>
      <c r="G93">
        <v>53.4</v>
      </c>
      <c r="K93" t="str">
        <f>"GGYBFETJS"</f>
        <v>GGYBFETJS</v>
      </c>
      <c r="L93" t="str">
        <f>"STCTXQULN"</f>
        <v>STCTXQULN</v>
      </c>
      <c r="M93">
        <v>53.4</v>
      </c>
      <c r="O93" t="str">
        <f t="shared" si="24"/>
        <v>每根管</v>
      </c>
      <c r="P93" t="str">
        <f t="shared" si="20"/>
        <v>治疗费</v>
      </c>
    </row>
    <row r="94" spans="1:16">
      <c r="A94" t="str">
        <f>"根管预备费-根管异常（加收）"</f>
        <v>根管预备费-根管异常（加收）</v>
      </c>
      <c r="B94" t="str">
        <f>"013105010050011"</f>
        <v>013105010050011</v>
      </c>
      <c r="C94" t="str">
        <f t="shared" si="19"/>
        <v>治疗</v>
      </c>
      <c r="G94">
        <v>124.6</v>
      </c>
      <c r="K94" t="str">
        <f>"GGYBFGGYCJS"</f>
        <v>GGYBFGGYCJS</v>
      </c>
      <c r="L94" t="str">
        <f>"STCTXSTNILN"</f>
        <v>STCTXSTNILN</v>
      </c>
      <c r="M94">
        <v>124.6</v>
      </c>
      <c r="O94" t="str">
        <f t="shared" si="24"/>
        <v>每根管</v>
      </c>
      <c r="P94" t="str">
        <f t="shared" si="20"/>
        <v>治疗费</v>
      </c>
    </row>
    <row r="95" spans="1:16">
      <c r="A95" t="str">
        <f>"根管冲洗费"</f>
        <v>根管冲洗费</v>
      </c>
      <c r="B95" t="str">
        <f>"013105010060000"</f>
        <v>013105010060000</v>
      </c>
      <c r="C95" t="str">
        <f t="shared" si="19"/>
        <v>治疗</v>
      </c>
      <c r="G95">
        <v>20</v>
      </c>
      <c r="K95" t="str">
        <f>"GGCXF"</f>
        <v>GGCXF</v>
      </c>
      <c r="L95" t="str">
        <f>"STUIX"</f>
        <v>STUIX</v>
      </c>
      <c r="M95">
        <v>20</v>
      </c>
      <c r="O95" t="str">
        <f t="shared" si="24"/>
        <v>每根管</v>
      </c>
      <c r="P95" t="str">
        <f t="shared" si="20"/>
        <v>治疗费</v>
      </c>
    </row>
    <row r="96" spans="1:16">
      <c r="A96" t="str">
        <f>"根管冲洗费-根管封药费（扩展）"</f>
        <v>根管冲洗费-根管封药费（扩展）</v>
      </c>
      <c r="B96" t="str">
        <f>"013105010060100"</f>
        <v>013105010060100</v>
      </c>
      <c r="C96" t="str">
        <f t="shared" si="19"/>
        <v>治疗</v>
      </c>
      <c r="G96">
        <v>20</v>
      </c>
      <c r="K96" t="str">
        <f>"GGCXFGGFYFKZ"</f>
        <v>GGCXFGGFYFKZ</v>
      </c>
      <c r="L96" t="str">
        <f>"STUIXSTFAXRN"</f>
        <v>STUIXSTFAXRN</v>
      </c>
      <c r="M96">
        <v>20</v>
      </c>
      <c r="O96" t="str">
        <f t="shared" si="24"/>
        <v>每根管</v>
      </c>
      <c r="P96" t="str">
        <f t="shared" si="20"/>
        <v>治疗费</v>
      </c>
    </row>
    <row r="97" spans="1:16">
      <c r="A97" t="str">
        <f>"根管充填费"</f>
        <v>根管充填费</v>
      </c>
      <c r="B97" t="str">
        <f>"013105010070000"</f>
        <v>013105010070000</v>
      </c>
      <c r="C97" t="str">
        <f t="shared" si="19"/>
        <v>治疗</v>
      </c>
      <c r="G97">
        <v>130</v>
      </c>
      <c r="K97" t="str">
        <f>"GGCTF"</f>
        <v>GGCTF</v>
      </c>
      <c r="L97" t="str">
        <f>"STYFX"</f>
        <v>STYFX</v>
      </c>
      <c r="M97">
        <v>130</v>
      </c>
      <c r="O97" t="str">
        <f t="shared" si="24"/>
        <v>每根管</v>
      </c>
      <c r="P97" t="str">
        <f t="shared" si="20"/>
        <v>治疗费</v>
      </c>
    </row>
    <row r="98" spans="1:16">
      <c r="A98" t="str">
        <f>"根管充填费-儿童（加收）"</f>
        <v>根管充填费-儿童（加收）</v>
      </c>
      <c r="B98" t="str">
        <f>"013105010070001"</f>
        <v>013105010070001</v>
      </c>
      <c r="C98" t="str">
        <f t="shared" si="19"/>
        <v>治疗</v>
      </c>
      <c r="G98">
        <v>39</v>
      </c>
      <c r="K98" t="str">
        <f>"GGCTFETJS"</f>
        <v>GGCTFETJS</v>
      </c>
      <c r="L98" t="str">
        <f>"STYFXQULN"</f>
        <v>STYFXQULN</v>
      </c>
      <c r="M98">
        <v>39</v>
      </c>
      <c r="O98" t="str">
        <f t="shared" si="24"/>
        <v>每根管</v>
      </c>
      <c r="P98" t="str">
        <f t="shared" si="20"/>
        <v>治疗费</v>
      </c>
    </row>
    <row r="99" spans="1:16">
      <c r="A99" t="str">
        <f>"根管充填费-根管异常（加收）"</f>
        <v>根管充填费-根管异常（加收）</v>
      </c>
      <c r="B99" t="str">
        <f>"013105010070011"</f>
        <v>013105010070011</v>
      </c>
      <c r="C99" t="str">
        <f t="shared" si="19"/>
        <v>治疗</v>
      </c>
      <c r="G99">
        <v>130</v>
      </c>
      <c r="K99" t="str">
        <f>"GGCTFGGYCJS"</f>
        <v>GGCTFGGYCJS</v>
      </c>
      <c r="L99" t="str">
        <f>"STYFXSTNILN"</f>
        <v>STYFXSTNILN</v>
      </c>
      <c r="M99">
        <v>130</v>
      </c>
      <c r="O99" t="str">
        <f t="shared" si="24"/>
        <v>每根管</v>
      </c>
      <c r="P99" t="str">
        <f t="shared" si="20"/>
        <v>治疗费</v>
      </c>
    </row>
    <row r="100" spans="1:16">
      <c r="A100" t="str">
        <f>"根管充填费-乳牙根管充填费（扩展）"</f>
        <v>根管充填费-乳牙根管充填费（扩展）</v>
      </c>
      <c r="B100" t="str">
        <f>"013105010070100"</f>
        <v>013105010070100</v>
      </c>
      <c r="C100" t="str">
        <f t="shared" si="19"/>
        <v>治疗</v>
      </c>
      <c r="G100">
        <v>130</v>
      </c>
      <c r="K100" t="str">
        <f>"GGCTFRYGGCTFKZ"</f>
        <v>GGCTFRYGGCTFKZ</v>
      </c>
      <c r="L100" t="str">
        <f>"STYFXEASTYFXRN"</f>
        <v>STYFXEASTYFXRN</v>
      </c>
      <c r="M100">
        <v>130</v>
      </c>
      <c r="O100" t="str">
        <f t="shared" si="24"/>
        <v>每根管</v>
      </c>
      <c r="P100" t="str">
        <f t="shared" si="20"/>
        <v>治疗费</v>
      </c>
    </row>
    <row r="101" spans="1:16">
      <c r="A101" t="str">
        <f>"根管再治疗费"</f>
        <v>根管再治疗费</v>
      </c>
      <c r="B101" t="str">
        <f>"013105010080000"</f>
        <v>013105010080000</v>
      </c>
      <c r="C101" t="str">
        <f t="shared" si="19"/>
        <v>治疗</v>
      </c>
      <c r="G101">
        <v>178</v>
      </c>
      <c r="K101" t="str">
        <f>"GGZZLF"</f>
        <v>GGZZLF</v>
      </c>
      <c r="L101" t="str">
        <f>"STGIUX"</f>
        <v>STGIUX</v>
      </c>
      <c r="M101">
        <v>178</v>
      </c>
      <c r="O101" t="str">
        <f t="shared" si="24"/>
        <v>每根管</v>
      </c>
      <c r="P101" t="str">
        <f t="shared" si="20"/>
        <v>治疗费</v>
      </c>
    </row>
    <row r="102" spans="1:16">
      <c r="A102" t="str">
        <f>"根管内异物取出费"</f>
        <v>根管内异物取出费</v>
      </c>
      <c r="B102" t="str">
        <f>"013105010090000"</f>
        <v>013105010090000</v>
      </c>
      <c r="C102" t="str">
        <f t="shared" si="19"/>
        <v>治疗</v>
      </c>
      <c r="G102">
        <v>904</v>
      </c>
      <c r="K102" t="str">
        <f>"GGNYWQCF"</f>
        <v>GGNYWQCF</v>
      </c>
      <c r="L102" t="str">
        <f>"STMNTBBX"</f>
        <v>STMNTBBX</v>
      </c>
      <c r="M102">
        <v>904</v>
      </c>
      <c r="O102" t="str">
        <f t="shared" si="24"/>
        <v>每根管</v>
      </c>
      <c r="P102" t="str">
        <f t="shared" si="20"/>
        <v>治疗费</v>
      </c>
    </row>
    <row r="103" spans="1:16">
      <c r="A103" t="str">
        <f>"根管内异物取出费-根尖段异物取出（加收）"</f>
        <v>根管内异物取出费-根尖段异物取出（加收）</v>
      </c>
      <c r="B103" t="str">
        <f>"013105010090001"</f>
        <v>013105010090001</v>
      </c>
      <c r="C103" t="str">
        <f t="shared" si="19"/>
        <v>治疗</v>
      </c>
      <c r="G103">
        <v>452</v>
      </c>
      <c r="K103" t="str">
        <f>"GGNYWQCFGJDYWQCJ"</f>
        <v>GGNYWQCFGJDYWQCJ</v>
      </c>
      <c r="L103" t="str">
        <f>"STMNTBBXSIWNTBBL"</f>
        <v>STMNTBBXSIWNTBBL</v>
      </c>
      <c r="M103">
        <v>452</v>
      </c>
      <c r="O103" t="str">
        <f t="shared" si="24"/>
        <v>每根管</v>
      </c>
      <c r="P103" t="str">
        <f t="shared" si="20"/>
        <v>治疗费</v>
      </c>
    </row>
    <row r="104" spans="1:16">
      <c r="A104" t="str">
        <f>"活髓保存治疗费"</f>
        <v>活髓保存治疗费</v>
      </c>
      <c r="B104" t="str">
        <f>"013105010100000"</f>
        <v>013105010100000</v>
      </c>
      <c r="C104" t="str">
        <f t="shared" si="19"/>
        <v>治疗</v>
      </c>
      <c r="G104">
        <v>228</v>
      </c>
      <c r="K104" t="str">
        <f>"HSBCZLF"</f>
        <v>HSBCZLF</v>
      </c>
      <c r="L104" t="str">
        <f>"IMWDIUX"</f>
        <v>IMWDIUX</v>
      </c>
      <c r="M104">
        <v>228</v>
      </c>
      <c r="O104" t="str">
        <f t="shared" ref="O104:O123" si="25">"每牙"</f>
        <v>每牙</v>
      </c>
      <c r="P104" t="str">
        <f t="shared" si="20"/>
        <v>治疗费</v>
      </c>
    </row>
    <row r="105" spans="1:16">
      <c r="A105" t="str">
        <f>"活髓保存治疗费-间接盖髓（减收）"</f>
        <v>活髓保存治疗费-间接盖髓（减收）</v>
      </c>
      <c r="B105" t="str">
        <f>"013105010100001"</f>
        <v>013105010100001</v>
      </c>
      <c r="C105" t="str">
        <f t="shared" si="19"/>
        <v>治疗</v>
      </c>
      <c r="G105">
        <v>114</v>
      </c>
      <c r="K105" t="str">
        <f>"HSBCZLFJJGSJS"</f>
        <v>HSBCZLFJJGSJS</v>
      </c>
      <c r="L105" t="str">
        <f>"IMWDIUXURUMUN"</f>
        <v>IMWDIUXURUMUN</v>
      </c>
      <c r="M105">
        <v>114</v>
      </c>
      <c r="O105" t="str">
        <f t="shared" si="25"/>
        <v>每牙</v>
      </c>
      <c r="P105" t="str">
        <f t="shared" si="20"/>
        <v>治疗费</v>
      </c>
    </row>
    <row r="106" spans="1:16">
      <c r="A106" t="str">
        <f>"牙体缺损直接粘接修复费"</f>
        <v>牙体缺损直接粘接修复费</v>
      </c>
      <c r="B106" t="str">
        <f>"013105010120000"</f>
        <v>013105010120000</v>
      </c>
      <c r="C106" t="str">
        <f t="shared" si="19"/>
        <v>治疗</v>
      </c>
      <c r="G106">
        <v>176</v>
      </c>
      <c r="K106" t="str">
        <f>"YTQSZJNJXFF"</f>
        <v>YTQSZJNJXFF</v>
      </c>
      <c r="L106" t="str">
        <f>"AWRRFRORWTX"</f>
        <v>AWRRFRORWTX</v>
      </c>
      <c r="M106">
        <v>176</v>
      </c>
      <c r="O106" t="str">
        <f t="shared" si="25"/>
        <v>每牙</v>
      </c>
      <c r="P106" t="str">
        <f t="shared" si="20"/>
        <v>治疗费</v>
      </c>
    </row>
    <row r="107" spans="1:16">
      <c r="A107" t="str">
        <f>"牙体缺损直接粘接修复费-儿童（加收）"</f>
        <v>牙体缺损直接粘接修复费-儿童（加收）</v>
      </c>
      <c r="B107" t="str">
        <f>"013105010120001"</f>
        <v>013105010120001</v>
      </c>
      <c r="C107" t="str">
        <f t="shared" si="19"/>
        <v>治疗</v>
      </c>
      <c r="G107">
        <v>52.8</v>
      </c>
      <c r="K107" t="str">
        <f>"YTQSZJNJXFFETJS"</f>
        <v>YTQSZJNJXFFETJS</v>
      </c>
      <c r="L107" t="str">
        <f>"AWRRFRORWTXQULN"</f>
        <v>AWRRFRORWTXQULN</v>
      </c>
      <c r="M107">
        <v>52.8</v>
      </c>
      <c r="O107" t="str">
        <f t="shared" si="25"/>
        <v>每牙</v>
      </c>
      <c r="P107" t="str">
        <f t="shared" si="20"/>
        <v>治疗费</v>
      </c>
    </row>
    <row r="108" spans="1:16">
      <c r="A108" t="str">
        <f>"牙体缺损直接粘接修复费-牙体大面积缺损（加收）"</f>
        <v>牙体缺损直接粘接修复费-牙体大面积缺损（加收）</v>
      </c>
      <c r="B108" t="str">
        <f>"013105010120011"</f>
        <v>013105010120011</v>
      </c>
      <c r="C108" t="str">
        <f t="shared" si="19"/>
        <v>治疗</v>
      </c>
      <c r="G108">
        <v>176</v>
      </c>
      <c r="K108" t="str">
        <f>"YTQSZJNJXFFYTDMJ"</f>
        <v>YTQSZJNJXFFYTDMJ</v>
      </c>
      <c r="L108" t="str">
        <f>"AWRRFRORWTXAWDDT"</f>
        <v>AWRRFRORWTXAWDDT</v>
      </c>
      <c r="M108">
        <v>176</v>
      </c>
      <c r="O108" t="str">
        <f t="shared" si="25"/>
        <v>每牙</v>
      </c>
      <c r="P108" t="str">
        <f t="shared" si="20"/>
        <v>治疗费</v>
      </c>
    </row>
    <row r="109" spans="1:16">
      <c r="A109" t="str">
        <f>"牙体缺损直接粘接修复费-暂封（减收）"</f>
        <v>牙体缺损直接粘接修复费-暂封（减收）</v>
      </c>
      <c r="B109" t="str">
        <f>"013105010120012"</f>
        <v>013105010120012</v>
      </c>
      <c r="C109" t="str">
        <f t="shared" si="19"/>
        <v>治疗</v>
      </c>
      <c r="G109">
        <v>35.2</v>
      </c>
      <c r="K109" t="str">
        <f>"YTQSZJNJXFFZFJS"</f>
        <v>YTQSZJNJXFFZFJS</v>
      </c>
      <c r="L109" t="str">
        <f>"AWRRFRORWTXLFUN"</f>
        <v>AWRRFRORWTXLFUN</v>
      </c>
      <c r="M109">
        <v>140.8</v>
      </c>
      <c r="O109" t="str">
        <f t="shared" si="25"/>
        <v>每牙</v>
      </c>
      <c r="P109" t="str">
        <f t="shared" si="20"/>
        <v>治疗费</v>
      </c>
    </row>
    <row r="110" spans="1:16">
      <c r="A110" t="str">
        <f>"窝沟封闭费"</f>
        <v>窝沟封闭费</v>
      </c>
      <c r="B110" t="str">
        <f>"013105010140000"</f>
        <v>013105010140000</v>
      </c>
      <c r="C110" t="str">
        <f t="shared" si="19"/>
        <v>治疗</v>
      </c>
      <c r="G110">
        <v>46</v>
      </c>
      <c r="K110" t="str">
        <f>"WGFBF"</f>
        <v>WGFBF</v>
      </c>
      <c r="L110" t="str">
        <f>"PIFUX"</f>
        <v>PIFUX</v>
      </c>
      <c r="M110">
        <v>46</v>
      </c>
      <c r="O110" t="str">
        <f t="shared" si="25"/>
        <v>每牙</v>
      </c>
      <c r="P110" t="str">
        <f t="shared" si="20"/>
        <v>治疗费</v>
      </c>
    </row>
    <row r="111" spans="1:16">
      <c r="A111" t="str">
        <f>"氟防龋治疗费"</f>
        <v>氟防龋治疗费</v>
      </c>
      <c r="B111" t="str">
        <f>"013105010150000"</f>
        <v>013105010150000</v>
      </c>
      <c r="C111" t="str">
        <f t="shared" si="19"/>
        <v>治疗</v>
      </c>
      <c r="G111">
        <v>5</v>
      </c>
      <c r="K111" t="str">
        <f>"FFQZLF"</f>
        <v>FFQZLF</v>
      </c>
      <c r="L111" t="str">
        <f>"RBHIUX"</f>
        <v>RBHIUX</v>
      </c>
      <c r="M111">
        <v>5</v>
      </c>
      <c r="O111" t="str">
        <f t="shared" si="25"/>
        <v>每牙</v>
      </c>
      <c r="P111" t="str">
        <f t="shared" si="20"/>
        <v>治疗费</v>
      </c>
    </row>
    <row r="112" spans="1:16">
      <c r="A112" t="str">
        <f>"牙脱敏治疗费"</f>
        <v>牙脱敏治疗费</v>
      </c>
      <c r="B112" t="str">
        <f>"013105010160000"</f>
        <v>013105010160000</v>
      </c>
      <c r="C112" t="str">
        <f t="shared" si="19"/>
        <v>治疗</v>
      </c>
      <c r="G112">
        <v>5</v>
      </c>
      <c r="K112" t="str">
        <f>"YTMZLF"</f>
        <v>YTMZLF</v>
      </c>
      <c r="L112" t="str">
        <f>"AETIUX"</f>
        <v>AETIUX</v>
      </c>
      <c r="M112">
        <v>5</v>
      </c>
      <c r="O112" t="str">
        <f t="shared" si="25"/>
        <v>每牙</v>
      </c>
      <c r="P112" t="str">
        <f t="shared" si="20"/>
        <v>治疗费</v>
      </c>
    </row>
    <row r="113" spans="1:16">
      <c r="A113" t="str">
        <f>"预成冠修复费"</f>
        <v>预成冠修复费</v>
      </c>
      <c r="B113" t="str">
        <f>"013105010190000"</f>
        <v>013105010190000</v>
      </c>
      <c r="C113" t="str">
        <f t="shared" si="19"/>
        <v>治疗</v>
      </c>
      <c r="G113">
        <v>130</v>
      </c>
      <c r="K113" t="str">
        <f>"YCGXFF"</f>
        <v>YCGXFF</v>
      </c>
      <c r="L113" t="str">
        <f>"CDPWTX"</f>
        <v>CDPWTX</v>
      </c>
      <c r="M113">
        <v>130</v>
      </c>
      <c r="O113" t="str">
        <f t="shared" si="25"/>
        <v>每牙</v>
      </c>
      <c r="P113" t="str">
        <f t="shared" si="20"/>
        <v>治疗费</v>
      </c>
    </row>
    <row r="114" spans="1:16">
      <c r="A114" t="str">
        <f>"牙周冲洗上药费"</f>
        <v>牙周冲洗上药费</v>
      </c>
      <c r="B114" t="str">
        <f>"013105010240000"</f>
        <v>013105010240000</v>
      </c>
      <c r="C114" t="str">
        <f t="shared" si="19"/>
        <v>治疗</v>
      </c>
      <c r="G114">
        <v>9</v>
      </c>
      <c r="K114" t="str">
        <f>"YZCXSYF"</f>
        <v>YZCXSYF</v>
      </c>
      <c r="L114" t="str">
        <f>"AMUIHAX"</f>
        <v>AMUIHAX</v>
      </c>
      <c r="M114">
        <v>9</v>
      </c>
      <c r="O114" t="str">
        <f t="shared" si="25"/>
        <v>每牙</v>
      </c>
      <c r="P114" t="str">
        <f t="shared" si="20"/>
        <v>治疗费</v>
      </c>
    </row>
    <row r="115" spans="1:16">
      <c r="A115" t="str">
        <f>"牙周塞治费"</f>
        <v>牙周塞治费</v>
      </c>
      <c r="B115" t="str">
        <f>"013105010250000"</f>
        <v>013105010250000</v>
      </c>
      <c r="C115" t="str">
        <f t="shared" si="19"/>
        <v>治疗</v>
      </c>
      <c r="G115">
        <v>10</v>
      </c>
      <c r="K115" t="str">
        <f>"YZSZF"</f>
        <v>YZSZF</v>
      </c>
      <c r="L115" t="str">
        <f>"AMPIX"</f>
        <v>AMPIX</v>
      </c>
      <c r="M115">
        <v>10</v>
      </c>
      <c r="O115" t="str">
        <f t="shared" si="25"/>
        <v>每牙</v>
      </c>
      <c r="P115" t="str">
        <f t="shared" si="20"/>
        <v>治疗费</v>
      </c>
    </row>
    <row r="116" spans="1:16">
      <c r="A116" t="str">
        <f>"龈上洁治费"</f>
        <v>龈上洁治费</v>
      </c>
      <c r="B116" t="str">
        <f>"013105010260000"</f>
        <v>013105010260000</v>
      </c>
      <c r="C116" t="str">
        <f t="shared" si="19"/>
        <v>治疗</v>
      </c>
      <c r="G116">
        <v>4</v>
      </c>
      <c r="K116" t="str">
        <f>"YSJZF"</f>
        <v>YSJZF</v>
      </c>
      <c r="L116" t="str">
        <f>"HHIIX"</f>
        <v>HHIIX</v>
      </c>
      <c r="M116">
        <v>4</v>
      </c>
      <c r="O116" t="str">
        <f t="shared" si="25"/>
        <v>每牙</v>
      </c>
      <c r="P116" t="str">
        <f t="shared" si="20"/>
        <v>治疗费</v>
      </c>
    </row>
    <row r="117" spans="1:16">
      <c r="A117" t="str">
        <f>"龈上洁治费-种植牙洁治（加收）"</f>
        <v>龈上洁治费-种植牙洁治（加收）</v>
      </c>
      <c r="B117" t="str">
        <f>"013105010260001"</f>
        <v>013105010260001</v>
      </c>
      <c r="C117" t="str">
        <f t="shared" si="19"/>
        <v>治疗</v>
      </c>
      <c r="G117">
        <v>15</v>
      </c>
      <c r="K117" t="str">
        <f>"YSJZFZZYJZJS"</f>
        <v>YSJZFZZYJZJS</v>
      </c>
      <c r="L117" t="str">
        <f>"HHIIXTSAIILN"</f>
        <v>HHIIXTSAIILN</v>
      </c>
      <c r="M117">
        <v>15</v>
      </c>
      <c r="O117" t="str">
        <f t="shared" si="25"/>
        <v>每牙</v>
      </c>
      <c r="P117" t="str">
        <f t="shared" si="20"/>
        <v>治疗费</v>
      </c>
    </row>
    <row r="118" spans="1:16">
      <c r="A118" t="str">
        <f>"牙面抛光费"</f>
        <v>牙面抛光费</v>
      </c>
      <c r="B118" t="str">
        <f>"013105010270000"</f>
        <v>013105010270000</v>
      </c>
      <c r="C118" t="str">
        <f t="shared" si="19"/>
        <v>治疗</v>
      </c>
      <c r="G118">
        <v>1.2</v>
      </c>
      <c r="K118" t="str">
        <f>"YMPGF"</f>
        <v>YMPGF</v>
      </c>
      <c r="L118" t="str">
        <f>"ADRIX"</f>
        <v>ADRIX</v>
      </c>
      <c r="M118">
        <v>1.2</v>
      </c>
      <c r="O118" t="str">
        <f t="shared" si="25"/>
        <v>每牙</v>
      </c>
      <c r="P118" t="str">
        <f t="shared" si="20"/>
        <v>治疗费</v>
      </c>
    </row>
    <row r="119" spans="1:16">
      <c r="A119" t="str">
        <f>"牙面喷砂费"</f>
        <v>牙面喷砂费</v>
      </c>
      <c r="B119" t="str">
        <f>"013105010280000"</f>
        <v>013105010280000</v>
      </c>
      <c r="C119" t="str">
        <f t="shared" si="19"/>
        <v>治疗</v>
      </c>
      <c r="G119">
        <v>1.2</v>
      </c>
      <c r="K119" t="str">
        <f>"YMPSF"</f>
        <v>YMPSF</v>
      </c>
      <c r="L119" t="str">
        <f>"ADKDX"</f>
        <v>ADKDX</v>
      </c>
      <c r="M119">
        <v>1.2</v>
      </c>
      <c r="O119" t="str">
        <f t="shared" si="25"/>
        <v>每牙</v>
      </c>
      <c r="P119" t="str">
        <f t="shared" si="20"/>
        <v>治疗费</v>
      </c>
    </row>
    <row r="120" spans="1:16">
      <c r="A120" t="str">
        <f>"龈下刮治费"</f>
        <v>龈下刮治费</v>
      </c>
      <c r="B120" t="str">
        <f>"013105010290000"</f>
        <v>013105010290000</v>
      </c>
      <c r="C120" t="str">
        <f t="shared" si="19"/>
        <v>治疗</v>
      </c>
      <c r="G120">
        <v>6</v>
      </c>
      <c r="K120" t="str">
        <f>"YXGZF"</f>
        <v>YXGZF</v>
      </c>
      <c r="L120" t="str">
        <f>"HGTIX"</f>
        <v>HGTIX</v>
      </c>
      <c r="M120">
        <v>6</v>
      </c>
      <c r="O120" t="str">
        <f t="shared" si="25"/>
        <v>每牙</v>
      </c>
      <c r="P120" t="str">
        <f t="shared" si="20"/>
        <v>治疗费</v>
      </c>
    </row>
    <row r="121" spans="1:16">
      <c r="A121" t="str">
        <f>"龈下刮治费-种植体龈下刮治（加收）"</f>
        <v>龈下刮治费-种植体龈下刮治（加收）</v>
      </c>
      <c r="B121" t="str">
        <f>"013105010290001"</f>
        <v>013105010290001</v>
      </c>
      <c r="C121" t="str">
        <f t="shared" si="19"/>
        <v>治疗</v>
      </c>
      <c r="G121">
        <v>79</v>
      </c>
      <c r="K121" t="str">
        <f>"YXGZFZZTYXGZJS"</f>
        <v>YXGZFZZTYXGZJS</v>
      </c>
      <c r="L121" t="str">
        <f>"HGTIXTSWHGTILN"</f>
        <v>HGTIXTSWHGTILN</v>
      </c>
      <c r="M121">
        <v>79</v>
      </c>
      <c r="O121" t="str">
        <f t="shared" si="25"/>
        <v>每牙</v>
      </c>
      <c r="P121" t="str">
        <f t="shared" si="20"/>
        <v>治疗费</v>
      </c>
    </row>
    <row r="122" spans="1:16">
      <c r="A122" t="str">
        <f>"松牙固定费"</f>
        <v>松牙固定费</v>
      </c>
      <c r="B122" t="str">
        <f>"013105010300000"</f>
        <v>013105010300000</v>
      </c>
      <c r="C122" t="str">
        <f t="shared" ref="C122:C141" si="26">"治疗"</f>
        <v>治疗</v>
      </c>
      <c r="G122">
        <v>104</v>
      </c>
      <c r="K122" t="str">
        <f>"SYGDF"</f>
        <v>SYGDF</v>
      </c>
      <c r="L122" t="str">
        <f>"SALPX"</f>
        <v>SALPX</v>
      </c>
      <c r="M122">
        <v>104</v>
      </c>
      <c r="O122" t="str">
        <f t="shared" si="25"/>
        <v>每牙</v>
      </c>
      <c r="P122" t="str">
        <f t="shared" ref="P122:P141" si="27">"治疗费"</f>
        <v>治疗费</v>
      </c>
    </row>
    <row r="123" spans="1:16">
      <c r="A123" t="str">
        <f>"松牙固定拆除费"</f>
        <v>松牙固定拆除费</v>
      </c>
      <c r="B123" t="str">
        <f>"013105010310000"</f>
        <v>013105010310000</v>
      </c>
      <c r="C123" t="str">
        <f t="shared" si="26"/>
        <v>治疗</v>
      </c>
      <c r="G123">
        <v>7</v>
      </c>
      <c r="K123" t="str">
        <f>"SYGDCCF"</f>
        <v>SYGDCCF</v>
      </c>
      <c r="L123" t="str">
        <f>"SALPRBX"</f>
        <v>SALPRBX</v>
      </c>
      <c r="M123">
        <v>7</v>
      </c>
      <c r="O123" t="str">
        <f t="shared" si="25"/>
        <v>每牙</v>
      </c>
      <c r="P123" t="str">
        <f t="shared" si="27"/>
        <v>治疗费</v>
      </c>
    </row>
    <row r="124" spans="1:16">
      <c r="A124" t="str">
        <f>"调牙合治疗费"</f>
        <v>调牙合治疗费</v>
      </c>
      <c r="B124" t="str">
        <f>"013105010320000"</f>
        <v>013105010320000</v>
      </c>
      <c r="C124" t="str">
        <f t="shared" si="26"/>
        <v>治疗</v>
      </c>
      <c r="G124">
        <v>54</v>
      </c>
      <c r="I124" t="str">
        <f>"次"</f>
        <v>次</v>
      </c>
      <c r="K124" t="str">
        <f>"DYHZLF"</f>
        <v>DYHZLF</v>
      </c>
      <c r="L124" t="str">
        <f>"YAWIUX"</f>
        <v>YAWIUX</v>
      </c>
      <c r="M124">
        <v>54</v>
      </c>
      <c r="O124" t="str">
        <f>"次"</f>
        <v>次</v>
      </c>
      <c r="P124" t="str">
        <f t="shared" si="27"/>
        <v>治疗费</v>
      </c>
    </row>
    <row r="125" spans="1:16">
      <c r="A125" t="str">
        <f>"临时固定修复费"</f>
        <v>临时固定修复费</v>
      </c>
      <c r="B125" t="str">
        <f>"013105170050000"</f>
        <v>013105170050000</v>
      </c>
      <c r="C125" t="str">
        <f t="shared" si="26"/>
        <v>治疗</v>
      </c>
      <c r="G125">
        <v>130</v>
      </c>
      <c r="K125" t="str">
        <f>"LSGDXFF"</f>
        <v>LSGDXFF</v>
      </c>
      <c r="L125" t="str">
        <f>"JJLPWTX"</f>
        <v>JJLPWTX</v>
      </c>
      <c r="M125">
        <v>130</v>
      </c>
      <c r="O125" t="str">
        <f t="shared" ref="O125:O128" si="28">"牙位"</f>
        <v>牙位</v>
      </c>
      <c r="P125" t="str">
        <f t="shared" si="27"/>
        <v>治疗费</v>
      </c>
    </row>
    <row r="126" spans="1:16">
      <c r="A126" t="str">
        <f>"修复体固定修复费"</f>
        <v>修复体固定修复费</v>
      </c>
      <c r="B126" t="str">
        <f>"013105170060000"</f>
        <v>013105170060000</v>
      </c>
      <c r="C126" t="str">
        <f t="shared" si="26"/>
        <v>治疗</v>
      </c>
      <c r="G126">
        <v>2400</v>
      </c>
      <c r="K126" t="str">
        <f>"XFTGDXFF"</f>
        <v>XFTGDXFF</v>
      </c>
      <c r="L126" t="str">
        <f>"WTWLPWTX"</f>
        <v>WTWLPWTX</v>
      </c>
      <c r="M126">
        <v>2400</v>
      </c>
      <c r="O126" t="str">
        <f t="shared" si="28"/>
        <v>牙位</v>
      </c>
      <c r="P126" t="str">
        <f t="shared" si="27"/>
        <v>治疗费</v>
      </c>
    </row>
    <row r="127" spans="1:16">
      <c r="A127" t="str">
        <f>"修复体固定修复费-即刻修复（加收）"</f>
        <v>修复体固定修复费-即刻修复（加收）</v>
      </c>
      <c r="B127" t="str">
        <f>"013105170060001"</f>
        <v>013105170060001</v>
      </c>
      <c r="C127" t="str">
        <f t="shared" si="26"/>
        <v>治疗</v>
      </c>
      <c r="G127">
        <v>240</v>
      </c>
      <c r="K127" t="str">
        <f>"XFTGDXFFJKXFJS"</f>
        <v>XFTGDXFFJKXFJS</v>
      </c>
      <c r="L127" t="str">
        <f>"WTWLPWTXVYWTLN"</f>
        <v>WTWLPWTXVYWTLN</v>
      </c>
      <c r="M127">
        <v>240</v>
      </c>
      <c r="O127" t="str">
        <f t="shared" si="28"/>
        <v>牙位</v>
      </c>
      <c r="P127" t="str">
        <f t="shared" si="27"/>
        <v>治疗费</v>
      </c>
    </row>
    <row r="128" spans="1:16">
      <c r="A128" t="str">
        <f>"修复体固定修复费-复杂修复体固定修复（加收）"</f>
        <v>修复体固定修复费-复杂修复体固定修复（加收）</v>
      </c>
      <c r="B128" t="str">
        <f>"013105170060011"</f>
        <v>013105170060011</v>
      </c>
      <c r="C128" t="str">
        <f t="shared" si="26"/>
        <v>治疗</v>
      </c>
      <c r="G128">
        <v>480</v>
      </c>
      <c r="K128" t="str">
        <f>"XFTGDXFFFZXFTGDX"</f>
        <v>XFTGDXFFFZXFTGDX</v>
      </c>
      <c r="L128" t="str">
        <f>"WTWLPWTXTVWTWLPW"</f>
        <v>WTWLPWTXTVWTWLPW</v>
      </c>
      <c r="M128">
        <v>480</v>
      </c>
      <c r="O128" t="str">
        <f t="shared" si="28"/>
        <v>牙位</v>
      </c>
      <c r="P128" t="str">
        <f t="shared" si="27"/>
        <v>治疗费</v>
      </c>
    </row>
    <row r="129" spans="1:16">
      <c r="A129" t="str">
        <f>"桩核修复费"</f>
        <v>桩核修复费</v>
      </c>
      <c r="B129" t="str">
        <f>"013105170070000"</f>
        <v>013105170070000</v>
      </c>
      <c r="C129" t="str">
        <f t="shared" si="26"/>
        <v>治疗</v>
      </c>
      <c r="G129">
        <v>366</v>
      </c>
      <c r="K129" t="str">
        <f>"ZHXFF"</f>
        <v>ZHXFF</v>
      </c>
      <c r="L129" t="str">
        <f>"SSWTX"</f>
        <v>SSWTX</v>
      </c>
      <c r="M129">
        <v>366</v>
      </c>
      <c r="O129" t="str">
        <f>"每根管"</f>
        <v>每根管</v>
      </c>
      <c r="P129" t="str">
        <f t="shared" si="27"/>
        <v>治疗费</v>
      </c>
    </row>
    <row r="130" spans="1:16">
      <c r="A130" t="str">
        <f>"桩核修复费-一体化纤维桩核（加收）"</f>
        <v>桩核修复费-一体化纤维桩核（加收）</v>
      </c>
      <c r="B130" t="str">
        <f>"013105170070001"</f>
        <v>013105170070001</v>
      </c>
      <c r="C130" t="str">
        <f t="shared" si="26"/>
        <v>治疗</v>
      </c>
      <c r="G130">
        <v>366</v>
      </c>
      <c r="K130" t="str">
        <f>"ZHXFFYTHXWZHJS"</f>
        <v>ZHXFFYTHXWZHJS</v>
      </c>
      <c r="L130" t="str">
        <f>"SSWTXGWWXXSSLN"</f>
        <v>SSWTXGWWXXSSLN</v>
      </c>
      <c r="M130">
        <v>366</v>
      </c>
      <c r="O130" t="str">
        <f>"每根管"</f>
        <v>每根管</v>
      </c>
      <c r="P130" t="str">
        <f t="shared" si="27"/>
        <v>治疗费</v>
      </c>
    </row>
    <row r="131" spans="1:16">
      <c r="A131" t="str">
        <f>"全口义齿修复费"</f>
        <v>全口义齿修复费</v>
      </c>
      <c r="B131" t="str">
        <f>"013105170090000"</f>
        <v>013105170090000</v>
      </c>
      <c r="C131" t="str">
        <f t="shared" si="26"/>
        <v>治疗</v>
      </c>
      <c r="G131">
        <v>5390</v>
      </c>
      <c r="K131" t="str">
        <f>"QKYCXFF"</f>
        <v>QKYCXFF</v>
      </c>
      <c r="L131" t="str">
        <f>"WKYHWTX"</f>
        <v>WKYHWTX</v>
      </c>
      <c r="M131">
        <v>5390</v>
      </c>
      <c r="O131" t="str">
        <f>"单颌"</f>
        <v>单颌</v>
      </c>
      <c r="P131" t="str">
        <f t="shared" si="27"/>
        <v>治疗费</v>
      </c>
    </row>
    <row r="132" spans="1:16">
      <c r="A132" t="str">
        <f>"全口义齿修复费-复杂全口义齿修复（加收）"</f>
        <v>全口义齿修复费-复杂全口义齿修复（加收）</v>
      </c>
      <c r="B132" t="str">
        <f>"013105170090001"</f>
        <v>013105170090001</v>
      </c>
      <c r="C132" t="str">
        <f t="shared" si="26"/>
        <v>治疗</v>
      </c>
      <c r="G132">
        <v>1617</v>
      </c>
      <c r="K132" t="str">
        <f>"QKYCXFFFZQKYCXFJ"</f>
        <v>QKYCXFFFZQKYCXFJ</v>
      </c>
      <c r="L132" t="str">
        <f>"WKYHWTXTVWKYHWTL"</f>
        <v>WKYHWTXTVWKYHWTL</v>
      </c>
      <c r="M132">
        <v>1617</v>
      </c>
      <c r="O132" t="str">
        <f>"单颌"</f>
        <v>单颌</v>
      </c>
      <c r="P132" t="str">
        <f t="shared" si="27"/>
        <v>治疗费</v>
      </c>
    </row>
    <row r="133" spans="1:16">
      <c r="A133" t="str">
        <f>"铸造支架可摘局部义齿修复费"</f>
        <v>铸造支架可摘局部义齿修复费</v>
      </c>
      <c r="B133" t="str">
        <f>"013105170110000"</f>
        <v>013105170110000</v>
      </c>
      <c r="C133" t="str">
        <f t="shared" si="26"/>
        <v>治疗</v>
      </c>
      <c r="G133">
        <v>600</v>
      </c>
      <c r="K133" t="str">
        <f>"ZZZJKZJBYCXFF"</f>
        <v>ZZZJKZJBYCXFF</v>
      </c>
      <c r="L133" t="str">
        <f>"QTFLSRNUYHWTX"</f>
        <v>QTFLSRNUYHWTX</v>
      </c>
      <c r="M133">
        <v>600</v>
      </c>
      <c r="O133" t="str">
        <f t="shared" ref="O133:O136" si="29">"牙位"</f>
        <v>牙位</v>
      </c>
      <c r="P133" t="str">
        <f t="shared" si="27"/>
        <v>治疗费</v>
      </c>
    </row>
    <row r="134" spans="1:16">
      <c r="A134" t="str">
        <f>"铸造支架可摘局部义齿修复费-复杂铸造支架可摘局部义齿修复（加收）"</f>
        <v>铸造支架可摘局部义齿修复费-复杂铸造支架可摘局部义齿修复（加收）</v>
      </c>
      <c r="B134" t="str">
        <f>"013105170110001"</f>
        <v>013105170110001</v>
      </c>
      <c r="C134" t="str">
        <f t="shared" si="26"/>
        <v>治疗</v>
      </c>
      <c r="G134">
        <v>120</v>
      </c>
      <c r="K134" t="str">
        <f>"ZZZJKZJBYCXFFFZZ"</f>
        <v>ZZZJKZJBYCXFFFZZ</v>
      </c>
      <c r="L134" t="str">
        <f>"QTFLSRNUYHWTXTVQ"</f>
        <v>QTFLSRNUYHWTXTVQ</v>
      </c>
      <c r="M134">
        <v>120</v>
      </c>
      <c r="O134" t="str">
        <f t="shared" si="29"/>
        <v>牙位</v>
      </c>
      <c r="P134" t="str">
        <f t="shared" si="27"/>
        <v>治疗费</v>
      </c>
    </row>
    <row r="135" spans="1:16">
      <c r="A135" t="str">
        <f>"修复体拆除费"</f>
        <v>修复体拆除费</v>
      </c>
      <c r="B135" t="str">
        <f>"013105190020000"</f>
        <v>013105190020000</v>
      </c>
      <c r="C135" t="str">
        <f t="shared" si="26"/>
        <v>治疗</v>
      </c>
      <c r="G135">
        <v>24</v>
      </c>
      <c r="K135" t="str">
        <f>"XFTCCF"</f>
        <v>XFTCCF</v>
      </c>
      <c r="L135" t="str">
        <f>"WTWRBX"</f>
        <v>WTWRBX</v>
      </c>
      <c r="M135">
        <v>24</v>
      </c>
      <c r="O135" t="str">
        <f>"修复体"</f>
        <v>修复体</v>
      </c>
      <c r="P135" t="str">
        <f t="shared" si="27"/>
        <v>治疗费</v>
      </c>
    </row>
    <row r="136" spans="1:16">
      <c r="A136" t="str">
        <f>"修复体维护费"</f>
        <v>修复体维护费</v>
      </c>
      <c r="B136" t="str">
        <f>"013105190030000"</f>
        <v>013105190030000</v>
      </c>
      <c r="C136" t="str">
        <f t="shared" si="26"/>
        <v>治疗</v>
      </c>
      <c r="G136">
        <v>80</v>
      </c>
      <c r="K136" t="str">
        <f>"XFTWHF"</f>
        <v>XFTWHF</v>
      </c>
      <c r="L136" t="str">
        <f>"WTWXRX"</f>
        <v>WTWXRX</v>
      </c>
      <c r="M136">
        <v>80</v>
      </c>
      <c r="O136" t="str">
        <f t="shared" si="29"/>
        <v>牙位</v>
      </c>
      <c r="P136" t="str">
        <f t="shared" si="27"/>
        <v>治疗费</v>
      </c>
    </row>
    <row r="137" spans="1:16">
      <c r="A137" t="str">
        <f>"雾化吸入治疗费"</f>
        <v>雾化吸入治疗费</v>
      </c>
      <c r="B137" t="str">
        <f>"013106000030000"</f>
        <v>013106000030000</v>
      </c>
      <c r="C137" t="str">
        <f t="shared" si="26"/>
        <v>治疗</v>
      </c>
      <c r="G137">
        <v>26</v>
      </c>
      <c r="I137" t="str">
        <f t="shared" ref="I137:I146" si="30">"次"</f>
        <v>次</v>
      </c>
      <c r="K137" t="str">
        <f>"WHXRZLF"</f>
        <v>WHXRZLF</v>
      </c>
      <c r="L137" t="str">
        <f>"FWKTIUX"</f>
        <v>FWKTIUX</v>
      </c>
      <c r="M137">
        <v>26</v>
      </c>
      <c r="O137" t="str">
        <f t="shared" ref="O137:O146" si="31">"次"</f>
        <v>次</v>
      </c>
      <c r="P137" t="str">
        <f t="shared" si="27"/>
        <v>治疗费</v>
      </c>
    </row>
    <row r="138" spans="1:16">
      <c r="A138" t="str">
        <f>"雾化吸入治疗费(第二次及后续)"</f>
        <v>雾化吸入治疗费(第二次及后续)</v>
      </c>
      <c r="B138" t="str">
        <f>"013106000030000-2"</f>
        <v>013106000030000-2</v>
      </c>
      <c r="C138" t="str">
        <f t="shared" si="26"/>
        <v>治疗</v>
      </c>
      <c r="G138">
        <v>6.5</v>
      </c>
      <c r="I138" t="str">
        <f t="shared" si="30"/>
        <v>次</v>
      </c>
      <c r="K138" t="str">
        <f>"WHXRZLFDECJHX"</f>
        <v>WHXRZLFDECJHX</v>
      </c>
      <c r="L138" t="str">
        <f>"FWKTIUXTFUERX"</f>
        <v>FWKTIUXTFUERX</v>
      </c>
      <c r="M138">
        <v>6.5</v>
      </c>
      <c r="O138" t="str">
        <f t="shared" si="31"/>
        <v>次</v>
      </c>
      <c r="P138" t="str">
        <f t="shared" si="27"/>
        <v>治疗费</v>
      </c>
    </row>
    <row r="139" spans="1:16">
      <c r="A139" t="str">
        <f>"妇科特殊治疗费"</f>
        <v>妇科特殊治疗费</v>
      </c>
      <c r="B139" t="str">
        <f>"013112010120000"</f>
        <v>013112010120000</v>
      </c>
      <c r="C139" t="str">
        <f t="shared" si="26"/>
        <v>治疗</v>
      </c>
      <c r="G139">
        <v>83</v>
      </c>
      <c r="I139">
        <v>1</v>
      </c>
      <c r="K139" t="str">
        <f>"FKTSZLF"</f>
        <v>FKTSZLF</v>
      </c>
      <c r="L139" t="str">
        <f>"VTTGIUX"</f>
        <v>VTTGIUX</v>
      </c>
      <c r="M139">
        <v>83</v>
      </c>
      <c r="O139" t="str">
        <f>"每部位"</f>
        <v>每部位</v>
      </c>
      <c r="P139" t="str">
        <f t="shared" si="27"/>
        <v>治疗费</v>
      </c>
    </row>
    <row r="140" spans="1:16">
      <c r="A140" t="str">
        <f>"阴道异物取出费"</f>
        <v>阴道异物取出费</v>
      </c>
      <c r="B140" t="str">
        <f>"013112010130000"</f>
        <v>013112010130000</v>
      </c>
      <c r="C140" t="str">
        <f t="shared" si="26"/>
        <v>治疗</v>
      </c>
      <c r="G140">
        <v>225</v>
      </c>
      <c r="I140">
        <v>1</v>
      </c>
      <c r="K140" t="str">
        <f>"YDYWQCF"</f>
        <v>YDYWQCF</v>
      </c>
      <c r="L140" t="str">
        <f>"BUNTBBX"</f>
        <v>BUNTBBX</v>
      </c>
      <c r="M140">
        <v>225</v>
      </c>
      <c r="O140" t="str">
        <f>"每次"</f>
        <v>每次</v>
      </c>
      <c r="P140" t="str">
        <f t="shared" si="27"/>
        <v>治疗费</v>
      </c>
    </row>
    <row r="141" spans="1:16">
      <c r="A141" t="str">
        <f>"子宫托治疗费"</f>
        <v>子宫托治疗费</v>
      </c>
      <c r="B141" t="str">
        <f>"013112010140000"</f>
        <v>013112010140000</v>
      </c>
      <c r="C141" t="str">
        <f t="shared" si="26"/>
        <v>治疗</v>
      </c>
      <c r="G141">
        <v>52</v>
      </c>
      <c r="I141">
        <v>1</v>
      </c>
      <c r="K141" t="str">
        <f>"ZGTZLF"</f>
        <v>ZGTZLF</v>
      </c>
      <c r="L141" t="str">
        <f>"BPRIUX"</f>
        <v>BPRIUX</v>
      </c>
      <c r="M141">
        <v>52</v>
      </c>
      <c r="O141" t="str">
        <f>"每次"</f>
        <v>每次</v>
      </c>
      <c r="P141" t="str">
        <f t="shared" si="27"/>
        <v>治疗费</v>
      </c>
    </row>
    <row r="142" spans="1:16">
      <c r="A142" t="str">
        <f>"产前常规检查"</f>
        <v>产前常规检查</v>
      </c>
      <c r="B142" t="str">
        <f>"013112020010000"</f>
        <v>013112020010000</v>
      </c>
      <c r="C142" t="str">
        <f>"检查"</f>
        <v>检查</v>
      </c>
      <c r="G142">
        <v>17</v>
      </c>
      <c r="I142" t="str">
        <f t="shared" si="30"/>
        <v>次</v>
      </c>
      <c r="K142" t="str">
        <f>"CQCGJC"</f>
        <v>CQCGJC</v>
      </c>
      <c r="L142" t="str">
        <f>"UUIFSS"</f>
        <v>UUIFSS</v>
      </c>
      <c r="M142">
        <v>17</v>
      </c>
      <c r="O142" t="str">
        <f t="shared" si="31"/>
        <v>次</v>
      </c>
      <c r="P142" t="str">
        <f>"检查费"</f>
        <v>检查费</v>
      </c>
    </row>
    <row r="143" spans="1:16">
      <c r="A143" t="str">
        <f>"局部麻醉费（局部浸润麻醉）"</f>
        <v>局部麻醉费（局部浸润麻醉）</v>
      </c>
      <c r="B143" t="str">
        <f>"013301000010000"</f>
        <v>013301000010000</v>
      </c>
      <c r="C143" t="str">
        <f t="shared" ref="C143:C147" si="32">"麻醉"</f>
        <v>麻醉</v>
      </c>
      <c r="G143">
        <v>35</v>
      </c>
      <c r="I143" t="str">
        <f t="shared" si="30"/>
        <v>次</v>
      </c>
      <c r="K143" t="str">
        <f>"JBMZFJBJRMZ"</f>
        <v>JBMZFJBJRMZ</v>
      </c>
      <c r="L143" t="str">
        <f>"NUYSXNUIIYS"</f>
        <v>NUYSXNUIIYS</v>
      </c>
      <c r="M143">
        <v>35</v>
      </c>
      <c r="O143" t="str">
        <f t="shared" si="31"/>
        <v>次</v>
      </c>
      <c r="P143" t="str">
        <f t="shared" ref="P143:P147" si="33">"麻醉费"</f>
        <v>麻醉费</v>
      </c>
    </row>
    <row r="144" spans="1:16">
      <c r="A144" t="str">
        <f>"局部麻醉费（神经阻滞麻醉）"</f>
        <v>局部麻醉费（神经阻滞麻醉）</v>
      </c>
      <c r="B144" t="str">
        <f>"013301000030000"</f>
        <v>013301000030000</v>
      </c>
      <c r="C144" t="str">
        <f t="shared" si="32"/>
        <v>麻醉</v>
      </c>
      <c r="G144">
        <v>293</v>
      </c>
      <c r="I144" t="str">
        <f t="shared" si="30"/>
        <v>次</v>
      </c>
      <c r="K144" t="str">
        <f>"JBMZFSJZZMZ"</f>
        <v>JBMZFSJZZMZ</v>
      </c>
      <c r="L144" t="str">
        <f>"NUYSXPXBIYS"</f>
        <v>NUYSXPXBIYS</v>
      </c>
      <c r="M144">
        <v>293</v>
      </c>
      <c r="O144" t="str">
        <f t="shared" si="31"/>
        <v>次</v>
      </c>
      <c r="P144" t="str">
        <f t="shared" si="33"/>
        <v>麻醉费</v>
      </c>
    </row>
    <row r="145" spans="1:16">
      <c r="A145" t="str">
        <f>"口腔门诊神经阻滞麻醉"</f>
        <v>口腔门诊神经阻滞麻醉</v>
      </c>
      <c r="B145" t="str">
        <f>"013301000030000-2"</f>
        <v>013301000030000-2</v>
      </c>
      <c r="C145" t="str">
        <f t="shared" si="32"/>
        <v>麻醉</v>
      </c>
      <c r="G145">
        <v>36</v>
      </c>
      <c r="I145" t="str">
        <f t="shared" si="30"/>
        <v>次</v>
      </c>
      <c r="K145" t="str">
        <f>"KQMZSJZZMZ"</f>
        <v>KQMZSJZZMZ</v>
      </c>
      <c r="L145" t="str">
        <f>"KEUYPXBIYS"</f>
        <v>KEUYPXBIYS</v>
      </c>
      <c r="M145">
        <v>36</v>
      </c>
      <c r="O145" t="str">
        <f t="shared" si="31"/>
        <v>次</v>
      </c>
      <c r="P145" t="str">
        <f t="shared" si="33"/>
        <v>麻醉费</v>
      </c>
    </row>
    <row r="146" spans="1:16">
      <c r="A146" t="str">
        <f>"全身麻醉费（无插管全麻）"</f>
        <v>全身麻醉费（无插管全麻）</v>
      </c>
      <c r="B146" t="str">
        <f>"013301000050000"</f>
        <v>013301000050000</v>
      </c>
      <c r="C146" t="str">
        <f t="shared" si="32"/>
        <v>麻醉</v>
      </c>
      <c r="G146">
        <v>429</v>
      </c>
      <c r="I146" t="str">
        <f t="shared" si="30"/>
        <v>次</v>
      </c>
      <c r="K146" t="str">
        <f>"QSMZFWCGQM"</f>
        <v>QSMZFWCGQM</v>
      </c>
      <c r="L146" t="str">
        <f>"WTYSXFRTWY"</f>
        <v>WTYSXFRTWY</v>
      </c>
      <c r="M146">
        <v>429</v>
      </c>
      <c r="O146" t="str">
        <f t="shared" si="31"/>
        <v>次</v>
      </c>
      <c r="P146" t="str">
        <f t="shared" si="33"/>
        <v>麻醉费</v>
      </c>
    </row>
    <row r="147" spans="1:16">
      <c r="A147" t="str">
        <f>"连续镇痛"</f>
        <v>连续镇痛</v>
      </c>
      <c r="B147" t="str">
        <f>"013301000100000"</f>
        <v>013301000100000</v>
      </c>
      <c r="C147" t="str">
        <f t="shared" si="32"/>
        <v>麻醉</v>
      </c>
      <c r="G147">
        <v>53</v>
      </c>
      <c r="I147" t="str">
        <f>"日"</f>
        <v>日</v>
      </c>
      <c r="K147" t="str">
        <f>"LXZT"</f>
        <v>LXZT</v>
      </c>
      <c r="L147" t="str">
        <f>"LXQU"</f>
        <v>LXQU</v>
      </c>
      <c r="M147">
        <v>53</v>
      </c>
      <c r="O147" t="str">
        <f>"日"</f>
        <v>日</v>
      </c>
      <c r="P147" t="str">
        <f t="shared" si="33"/>
        <v>麻醉费</v>
      </c>
    </row>
    <row r="148" spans="1:16">
      <c r="A148" t="str">
        <f>"根尖诱导成形费"</f>
        <v>根尖诱导成形费</v>
      </c>
      <c r="B148" t="str">
        <f>"013306020020000"</f>
        <v>013306020020000</v>
      </c>
      <c r="C148" t="str">
        <f t="shared" ref="C148:C186" si="34">"手术"</f>
        <v>手术</v>
      </c>
      <c r="G148">
        <v>65</v>
      </c>
      <c r="I148" t="str">
        <f>"每根管"</f>
        <v>每根管</v>
      </c>
      <c r="K148" t="str">
        <f>"GJYDCXF"</f>
        <v>GJYDCXF</v>
      </c>
      <c r="L148" t="str">
        <f>"SIYNDGX"</f>
        <v>SIYNDGX</v>
      </c>
      <c r="M148">
        <v>72</v>
      </c>
      <c r="O148" t="str">
        <f t="shared" ref="O148:O151" si="35">"每根管"</f>
        <v>每根管</v>
      </c>
      <c r="P148" t="str">
        <f t="shared" ref="P148:P186" si="36">"手术费"</f>
        <v>手术费</v>
      </c>
    </row>
    <row r="149" spans="1:16">
      <c r="A149" t="str">
        <f>"根尖屏障手术费-髓腔穿孔修补费（扩展）"</f>
        <v>根尖屏障手术费-髓腔穿孔修补费（扩展）</v>
      </c>
      <c r="B149" t="str">
        <f>"013306020030100"</f>
        <v>013306020030100</v>
      </c>
      <c r="C149" t="str">
        <f t="shared" si="34"/>
        <v>手术</v>
      </c>
      <c r="G149">
        <v>173</v>
      </c>
      <c r="K149" t="str">
        <f>"GJPZSSFSQCKXBFKZ"</f>
        <v>GJPZSSFSQCKXBFKZ</v>
      </c>
      <c r="L149" t="str">
        <f>"SINBRSXMEPBWPXRN"</f>
        <v>SINBRSXMEPBWPXRN</v>
      </c>
      <c r="M149">
        <v>173</v>
      </c>
      <c r="O149" t="str">
        <f t="shared" si="35"/>
        <v>每根管</v>
      </c>
      <c r="P149" t="str">
        <f t="shared" si="36"/>
        <v>手术费</v>
      </c>
    </row>
    <row r="150" spans="1:16">
      <c r="A150" t="str">
        <f>"根尖手术费"</f>
        <v>根尖手术费</v>
      </c>
      <c r="B150" t="str">
        <f>"013306020040000"</f>
        <v>013306020040000</v>
      </c>
      <c r="C150" t="str">
        <f t="shared" si="34"/>
        <v>手术</v>
      </c>
      <c r="G150">
        <v>431</v>
      </c>
      <c r="K150" t="str">
        <f>"GJSSF"</f>
        <v>GJSSF</v>
      </c>
      <c r="L150" t="str">
        <f>"SIRSX"</f>
        <v>SIRSX</v>
      </c>
      <c r="M150">
        <v>431</v>
      </c>
      <c r="O150" t="str">
        <f t="shared" si="35"/>
        <v>每根管</v>
      </c>
      <c r="P150" t="str">
        <f t="shared" si="36"/>
        <v>手术费</v>
      </c>
    </row>
    <row r="151" spans="1:16">
      <c r="A151" t="str">
        <f>"根尖手术费-复杂根尖手术（加收）"</f>
        <v>根尖手术费-复杂根尖手术（加收）</v>
      </c>
      <c r="B151" t="str">
        <f>"013306020040011"</f>
        <v>013306020040011</v>
      </c>
      <c r="C151" t="str">
        <f t="shared" si="34"/>
        <v>手术</v>
      </c>
      <c r="G151">
        <v>431</v>
      </c>
      <c r="K151" t="str">
        <f>"GJSSFFZGJSSJS"</f>
        <v>GJSSFFZGJSSJS</v>
      </c>
      <c r="L151" t="str">
        <f>"SIRSXTVSIRSLN"</f>
        <v>SIRSXTVSIRSLN</v>
      </c>
      <c r="M151">
        <v>431</v>
      </c>
      <c r="O151" t="str">
        <f t="shared" si="35"/>
        <v>每根管</v>
      </c>
      <c r="P151" t="str">
        <f t="shared" si="36"/>
        <v>手术费</v>
      </c>
    </row>
    <row r="152" spans="1:16">
      <c r="A152" t="str">
        <f>"牙拔除费"</f>
        <v>牙拔除费</v>
      </c>
      <c r="B152" t="str">
        <f>"013306020050000"</f>
        <v>013306020050000</v>
      </c>
      <c r="C152" t="str">
        <f t="shared" si="34"/>
        <v>手术</v>
      </c>
      <c r="G152">
        <v>94</v>
      </c>
      <c r="I152" t="str">
        <f t="shared" ref="I152:I161" si="37">"每牙"</f>
        <v>每牙</v>
      </c>
      <c r="K152" t="str">
        <f>"YBCF"</f>
        <v>YBCF</v>
      </c>
      <c r="L152" t="str">
        <f>"ARBX"</f>
        <v>ARBX</v>
      </c>
      <c r="M152">
        <v>104</v>
      </c>
      <c r="O152" t="str">
        <f t="shared" ref="O152:O162" si="38">"每牙"</f>
        <v>每牙</v>
      </c>
      <c r="P152" t="str">
        <f t="shared" si="36"/>
        <v>手术费</v>
      </c>
    </row>
    <row r="153" spans="1:16">
      <c r="A153" t="str">
        <f>"乳牙拔除费"</f>
        <v>乳牙拔除费</v>
      </c>
      <c r="B153" t="str">
        <f>"013306020050000-1"</f>
        <v>013306020050000-1</v>
      </c>
      <c r="C153" t="str">
        <f t="shared" si="34"/>
        <v>手术</v>
      </c>
      <c r="G153">
        <v>11</v>
      </c>
      <c r="K153" t="str">
        <f>"RYBCF"</f>
        <v>RYBCF</v>
      </c>
      <c r="L153" t="str">
        <f>"EARBX"</f>
        <v>EARBX</v>
      </c>
      <c r="M153">
        <v>11</v>
      </c>
      <c r="O153" t="str">
        <f t="shared" si="38"/>
        <v>每牙</v>
      </c>
      <c r="P153" t="str">
        <f t="shared" si="36"/>
        <v>手术费</v>
      </c>
    </row>
    <row r="154" spans="1:16">
      <c r="A154" t="str">
        <f>"牙拔除费-复杂牙拔除（加收）"</f>
        <v>牙拔除费-复杂牙拔除（加收）</v>
      </c>
      <c r="B154" t="str">
        <f>"013306020050011"</f>
        <v>013306020050011</v>
      </c>
      <c r="C154" t="str">
        <f t="shared" si="34"/>
        <v>手术</v>
      </c>
      <c r="G154">
        <v>107</v>
      </c>
      <c r="I154" t="str">
        <f t="shared" si="37"/>
        <v>每牙</v>
      </c>
      <c r="K154" t="str">
        <f>"YBCFFZYBCJS"</f>
        <v>YBCFFZYBCJS</v>
      </c>
      <c r="L154" t="str">
        <f>"ARBXTVARBLN"</f>
        <v>ARBXTVARBLN</v>
      </c>
      <c r="M154">
        <v>119</v>
      </c>
      <c r="O154" t="str">
        <f t="shared" si="38"/>
        <v>每牙</v>
      </c>
      <c r="P154" t="str">
        <f t="shared" si="36"/>
        <v>手术费</v>
      </c>
    </row>
    <row r="155" spans="1:16">
      <c r="A155" t="str">
        <f>"阻生牙拔除费"</f>
        <v>阻生牙拔除费</v>
      </c>
      <c r="B155" t="str">
        <f>"013306020060000"</f>
        <v>013306020060000</v>
      </c>
      <c r="C155" t="str">
        <f t="shared" si="34"/>
        <v>手术</v>
      </c>
      <c r="G155">
        <v>207</v>
      </c>
      <c r="I155" t="str">
        <f t="shared" si="37"/>
        <v>每牙</v>
      </c>
      <c r="K155" t="str">
        <f>"ZSYBCF"</f>
        <v>ZSYBCF</v>
      </c>
      <c r="L155" t="str">
        <f>"BTARBX"</f>
        <v>BTARBX</v>
      </c>
      <c r="M155">
        <v>230</v>
      </c>
      <c r="O155" t="str">
        <f t="shared" si="38"/>
        <v>每牙</v>
      </c>
      <c r="P155" t="str">
        <f t="shared" si="36"/>
        <v>手术费</v>
      </c>
    </row>
    <row r="156" spans="1:16">
      <c r="A156" t="str">
        <f>"阻生牙拔除费-复杂阻生牙拔除（加收）"</f>
        <v>阻生牙拔除费-复杂阻生牙拔除（加收）</v>
      </c>
      <c r="B156" t="str">
        <f>"013306020060011"</f>
        <v>013306020060011</v>
      </c>
      <c r="C156" t="str">
        <f t="shared" si="34"/>
        <v>手术</v>
      </c>
      <c r="G156">
        <v>207</v>
      </c>
      <c r="I156" t="str">
        <f t="shared" si="37"/>
        <v>每牙</v>
      </c>
      <c r="K156" t="str">
        <f>"ZSYBCFFZZSYBCJS"</f>
        <v>ZSYBCFFZZSYBCJS</v>
      </c>
      <c r="L156" t="str">
        <f>"BTARBXTVBTARBLN"</f>
        <v>BTARBXTVBTARBLN</v>
      </c>
      <c r="M156">
        <v>230</v>
      </c>
      <c r="O156" t="str">
        <f t="shared" si="38"/>
        <v>每牙</v>
      </c>
      <c r="P156" t="str">
        <f t="shared" si="36"/>
        <v>手术费</v>
      </c>
    </row>
    <row r="157" spans="1:16">
      <c r="A157" t="str">
        <f>"阻生牙拔除费-多生牙拔除费（扩展）"</f>
        <v>阻生牙拔除费-多生牙拔除费（扩展）</v>
      </c>
      <c r="B157" t="str">
        <f>"013306020060100"</f>
        <v>013306020060100</v>
      </c>
      <c r="C157" t="str">
        <f t="shared" si="34"/>
        <v>手术</v>
      </c>
      <c r="G157">
        <v>207</v>
      </c>
      <c r="I157" t="str">
        <f t="shared" si="37"/>
        <v>每牙</v>
      </c>
      <c r="K157" t="str">
        <f>"ZSYBCFDSYBCFKZ"</f>
        <v>ZSYBCFDSYBCFKZ</v>
      </c>
      <c r="L157" t="str">
        <f>"BTARBXQTARBXRN"</f>
        <v>BTARBXQTARBXRN</v>
      </c>
      <c r="M157">
        <v>230</v>
      </c>
      <c r="O157" t="str">
        <f t="shared" si="38"/>
        <v>每牙</v>
      </c>
      <c r="P157" t="str">
        <f t="shared" si="36"/>
        <v>手术费</v>
      </c>
    </row>
    <row r="158" spans="1:16">
      <c r="A158" t="str">
        <f>"阻生牙开窗助萌费"</f>
        <v>阻生牙开窗助萌费</v>
      </c>
      <c r="B158" t="str">
        <f>"013306020070000"</f>
        <v>013306020070000</v>
      </c>
      <c r="C158" t="str">
        <f t="shared" si="34"/>
        <v>手术</v>
      </c>
      <c r="G158">
        <v>39</v>
      </c>
      <c r="I158" t="str">
        <f t="shared" si="37"/>
        <v>每牙</v>
      </c>
      <c r="K158" t="str">
        <f>"ZSYKCZMF"</f>
        <v>ZSYKCZMF</v>
      </c>
      <c r="L158" t="str">
        <f>"BTAGPEAX"</f>
        <v>BTAGPEAX</v>
      </c>
      <c r="M158">
        <v>43</v>
      </c>
      <c r="O158" t="str">
        <f t="shared" si="38"/>
        <v>每牙</v>
      </c>
      <c r="P158" t="str">
        <f t="shared" si="36"/>
        <v>手术费</v>
      </c>
    </row>
    <row r="159" spans="1:16">
      <c r="A159" t="str">
        <f>"阻生牙牙冠切除费"</f>
        <v>阻生牙牙冠切除费</v>
      </c>
      <c r="B159" t="str">
        <f>"013306020080000"</f>
        <v>013306020080000</v>
      </c>
      <c r="C159" t="str">
        <f t="shared" si="34"/>
        <v>手术</v>
      </c>
      <c r="G159">
        <v>324</v>
      </c>
      <c r="I159" t="str">
        <f t="shared" si="37"/>
        <v>每牙</v>
      </c>
      <c r="K159" t="str">
        <f>"ZSYYGQCF"</f>
        <v>ZSYYGQCF</v>
      </c>
      <c r="L159" t="str">
        <f>"BTAAPABX"</f>
        <v>BTAAPABX</v>
      </c>
      <c r="M159">
        <v>360</v>
      </c>
      <c r="O159" t="str">
        <f t="shared" si="38"/>
        <v>每牙</v>
      </c>
      <c r="P159" t="str">
        <f t="shared" si="36"/>
        <v>手术费</v>
      </c>
    </row>
    <row r="160" spans="1:16">
      <c r="A160" t="str">
        <f>"拔牙创搔刮费"</f>
        <v>拔牙创搔刮费</v>
      </c>
      <c r="B160" t="str">
        <f>"013306020090000"</f>
        <v>013306020090000</v>
      </c>
      <c r="C160" t="str">
        <f t="shared" si="34"/>
        <v>手术</v>
      </c>
      <c r="G160">
        <v>140</v>
      </c>
      <c r="I160" t="str">
        <f t="shared" si="37"/>
        <v>每牙</v>
      </c>
      <c r="K160" t="str">
        <f>"BYCSGF"</f>
        <v>BYCSGF</v>
      </c>
      <c r="L160" t="str">
        <f>"RAWRTX"</f>
        <v>RAWRTX</v>
      </c>
      <c r="M160">
        <v>156</v>
      </c>
      <c r="O160" t="str">
        <f t="shared" si="38"/>
        <v>每牙</v>
      </c>
      <c r="P160" t="str">
        <f t="shared" si="36"/>
        <v>手术费</v>
      </c>
    </row>
    <row r="161" spans="1:16">
      <c r="A161" t="str">
        <f>"阻生牙龈瓣修整费"</f>
        <v>阻生牙龈瓣修整费</v>
      </c>
      <c r="B161" t="str">
        <f>"013306020100000"</f>
        <v>013306020100000</v>
      </c>
      <c r="C161" t="str">
        <f t="shared" si="34"/>
        <v>手术</v>
      </c>
      <c r="G161">
        <v>70</v>
      </c>
      <c r="I161" t="str">
        <f t="shared" si="37"/>
        <v>每牙</v>
      </c>
      <c r="K161" t="str">
        <f>"ZSYYBXZF"</f>
        <v>ZSYYBXZF</v>
      </c>
      <c r="L161" t="str">
        <f>"BTAHUWGX"</f>
        <v>BTAHUWGX</v>
      </c>
      <c r="M161">
        <v>78</v>
      </c>
      <c r="O161" t="str">
        <f t="shared" si="38"/>
        <v>每牙</v>
      </c>
      <c r="P161" t="str">
        <f t="shared" si="36"/>
        <v>手术费</v>
      </c>
    </row>
    <row r="162" spans="1:16">
      <c r="A162" t="str">
        <f>"预防性拔牙窝组织封闭费"</f>
        <v>预防性拔牙窝组织封闭费</v>
      </c>
      <c r="B162" t="str">
        <f>"013306020110000"</f>
        <v>013306020110000</v>
      </c>
      <c r="C162" t="str">
        <f t="shared" si="34"/>
        <v>手术</v>
      </c>
      <c r="G162">
        <v>494</v>
      </c>
      <c r="K162" t="str">
        <f>"YFXBYWZZFBF"</f>
        <v>YFXBYWZZFBF</v>
      </c>
      <c r="L162" t="str">
        <f>"CBNRAPXXFUX"</f>
        <v>CBNRAPXXFUX</v>
      </c>
      <c r="M162">
        <v>494</v>
      </c>
      <c r="O162" t="str">
        <f t="shared" si="38"/>
        <v>每牙</v>
      </c>
      <c r="P162" t="str">
        <f t="shared" si="36"/>
        <v>手术费</v>
      </c>
    </row>
    <row r="163" spans="1:16">
      <c r="A163" t="str">
        <f>"口腔良性肿物切除费"</f>
        <v>口腔良性肿物切除费</v>
      </c>
      <c r="B163" t="str">
        <f>"013306020130000"</f>
        <v>013306020130000</v>
      </c>
      <c r="C163" t="str">
        <f t="shared" si="34"/>
        <v>手术</v>
      </c>
      <c r="G163">
        <v>95</v>
      </c>
      <c r="K163" t="str">
        <f>"KQLXZWQCF"</f>
        <v>KQLXZWQCF</v>
      </c>
      <c r="L163" t="str">
        <f>"KEYNETABX"</f>
        <v>KEYNETABX</v>
      </c>
      <c r="M163">
        <v>95</v>
      </c>
      <c r="O163" t="str">
        <f>"病灶"</f>
        <v>病灶</v>
      </c>
      <c r="P163" t="str">
        <f t="shared" si="36"/>
        <v>手术费</v>
      </c>
    </row>
    <row r="164" spans="1:16">
      <c r="A164" t="str">
        <f>"脓肿切开引流费（口内）"</f>
        <v>脓肿切开引流费（口内）</v>
      </c>
      <c r="B164" t="str">
        <f>"013306020220000"</f>
        <v>013306020220000</v>
      </c>
      <c r="C164" t="str">
        <f t="shared" si="34"/>
        <v>手术</v>
      </c>
      <c r="G164">
        <v>9</v>
      </c>
      <c r="I164" t="str">
        <f>"次"</f>
        <v>次</v>
      </c>
      <c r="K164" t="str">
        <f>"NZQKYLFKN"</f>
        <v>NZQKYLFKN</v>
      </c>
      <c r="L164" t="str">
        <f>"EEAGXIXKM"</f>
        <v>EEAGXIXKM</v>
      </c>
      <c r="M164">
        <v>10</v>
      </c>
      <c r="O164" t="str">
        <f>"次"</f>
        <v>次</v>
      </c>
      <c r="P164" t="str">
        <f t="shared" si="36"/>
        <v>手术费</v>
      </c>
    </row>
    <row r="165" spans="1:16">
      <c r="A165" t="str">
        <f>"脓肿切开引流费（口内）-儿童（加收）"</f>
        <v>脓肿切开引流费（口内）-儿童（加收）</v>
      </c>
      <c r="B165" t="str">
        <f>"013306020220001"</f>
        <v>013306020220001</v>
      </c>
      <c r="C165" t="str">
        <f t="shared" si="34"/>
        <v>手术</v>
      </c>
      <c r="G165">
        <v>2.7</v>
      </c>
      <c r="I165" t="str">
        <f>"次"</f>
        <v>次</v>
      </c>
      <c r="K165" t="str">
        <f>"NZQKYLFKNETJS"</f>
        <v>NZQKYLFKNETJS</v>
      </c>
      <c r="L165" t="str">
        <f>"EEAGXIXKMQULN"</f>
        <v>EEAGXIXKMQULN</v>
      </c>
      <c r="M165">
        <v>3</v>
      </c>
      <c r="O165" t="str">
        <f>"次"</f>
        <v>次</v>
      </c>
      <c r="P165" t="str">
        <f t="shared" si="36"/>
        <v>手术费</v>
      </c>
    </row>
    <row r="166" spans="1:16">
      <c r="A166" t="str">
        <f>"根面平整费"</f>
        <v>根面平整费</v>
      </c>
      <c r="B166" t="str">
        <f>"013306020270000"</f>
        <v>013306020270000</v>
      </c>
      <c r="C166" t="str">
        <f t="shared" si="34"/>
        <v>手术</v>
      </c>
      <c r="G166">
        <v>22</v>
      </c>
      <c r="I166" t="str">
        <f>"每牙"</f>
        <v>每牙</v>
      </c>
      <c r="K166" t="str">
        <f>"GMPZF"</f>
        <v>GMPZF</v>
      </c>
      <c r="L166" t="str">
        <f>"SDGGX"</f>
        <v>SDGGX</v>
      </c>
      <c r="M166">
        <v>24</v>
      </c>
      <c r="O166" t="str">
        <f t="shared" ref="O166:O168" si="39">"每牙"</f>
        <v>每牙</v>
      </c>
      <c r="P166" t="str">
        <f t="shared" si="36"/>
        <v>手术费</v>
      </c>
    </row>
    <row r="167" spans="1:16">
      <c r="A167" t="str">
        <f>"牙周翻瓣费"</f>
        <v>牙周翻瓣费</v>
      </c>
      <c r="B167" t="str">
        <f>"013306020280000"</f>
        <v>013306020280000</v>
      </c>
      <c r="C167" t="str">
        <f t="shared" si="34"/>
        <v>手术</v>
      </c>
      <c r="G167">
        <v>168</v>
      </c>
      <c r="K167" t="str">
        <f>"YZFBF"</f>
        <v>YZFBF</v>
      </c>
      <c r="L167" t="str">
        <f>"AMTUX"</f>
        <v>AMTUX</v>
      </c>
      <c r="M167">
        <v>168</v>
      </c>
      <c r="O167" t="str">
        <f t="shared" si="39"/>
        <v>每牙</v>
      </c>
      <c r="P167" t="str">
        <f t="shared" si="36"/>
        <v>手术费</v>
      </c>
    </row>
    <row r="168" spans="1:16">
      <c r="A168" t="str">
        <f>"牙周翻瓣费-复杂牙周翻瓣（加收）"</f>
        <v>牙周翻瓣费-复杂牙周翻瓣（加收）</v>
      </c>
      <c r="B168" t="str">
        <f>"013306020280011"</f>
        <v>013306020280011</v>
      </c>
      <c r="C168" t="str">
        <f t="shared" si="34"/>
        <v>手术</v>
      </c>
      <c r="G168">
        <v>50.4</v>
      </c>
      <c r="K168" t="str">
        <f>"YZFBFFZYZFBJS"</f>
        <v>YZFBFFZYZFBJS</v>
      </c>
      <c r="L168" t="str">
        <f>"AMTUXTVAMTULN"</f>
        <v>AMTUXTVAMTULN</v>
      </c>
      <c r="M168">
        <v>50.4</v>
      </c>
      <c r="O168" t="str">
        <f t="shared" si="39"/>
        <v>每牙</v>
      </c>
      <c r="P168" t="str">
        <f t="shared" si="36"/>
        <v>手术费</v>
      </c>
    </row>
    <row r="169" spans="1:16">
      <c r="A169" t="str">
        <f>"外阴囊肿切开引流费"</f>
        <v>外阴囊肿切开引流费</v>
      </c>
      <c r="B169" t="str">
        <f>"013313000030000"</f>
        <v>013313000030000</v>
      </c>
      <c r="C169" t="str">
        <f t="shared" si="34"/>
        <v>手术</v>
      </c>
      <c r="G169">
        <v>317</v>
      </c>
      <c r="I169">
        <v>1</v>
      </c>
      <c r="K169" t="str">
        <f>"WYNZQKYLF"</f>
        <v>WYNZQKYLF</v>
      </c>
      <c r="L169" t="str">
        <f>"QBGEAGXIX"</f>
        <v>QBGEAGXIX</v>
      </c>
      <c r="M169">
        <v>317</v>
      </c>
      <c r="O169" t="str">
        <f t="shared" ref="O169:O186" si="40">"每次"</f>
        <v>每次</v>
      </c>
      <c r="P169" t="str">
        <f t="shared" si="36"/>
        <v>手术费</v>
      </c>
    </row>
    <row r="170" spans="1:16">
      <c r="A170" t="str">
        <f>"阴道囊肿切开引流费"</f>
        <v>阴道囊肿切开引流费</v>
      </c>
      <c r="B170" t="str">
        <f>"013313000030000-1"</f>
        <v>013313000030000-1</v>
      </c>
      <c r="C170" t="str">
        <f t="shared" si="34"/>
        <v>手术</v>
      </c>
      <c r="G170">
        <v>317</v>
      </c>
      <c r="I170">
        <v>1</v>
      </c>
      <c r="K170" t="str">
        <f>"YDNZQKYLF"</f>
        <v>YDNZQKYLF</v>
      </c>
      <c r="L170" t="str">
        <f>"BUGEAGXIX"</f>
        <v>BUGEAGXIX</v>
      </c>
      <c r="M170">
        <v>317</v>
      </c>
      <c r="O170" t="str">
        <f t="shared" si="40"/>
        <v>每次</v>
      </c>
      <c r="P170" t="str">
        <f t="shared" si="36"/>
        <v>手术费</v>
      </c>
    </row>
    <row r="171" spans="1:16">
      <c r="A171" t="str">
        <f>"外阴病变切除费"</f>
        <v>外阴病变切除费</v>
      </c>
      <c r="B171" t="str">
        <f>"013313000040000"</f>
        <v>013313000040000</v>
      </c>
      <c r="C171" t="str">
        <f t="shared" si="34"/>
        <v>手术</v>
      </c>
      <c r="G171">
        <v>360</v>
      </c>
      <c r="I171">
        <v>1</v>
      </c>
      <c r="K171" t="str">
        <f>"WYBBQCF"</f>
        <v>WYBBQCF</v>
      </c>
      <c r="L171" t="str">
        <f>"QBUYABX"</f>
        <v>QBUYABX</v>
      </c>
      <c r="M171">
        <v>360</v>
      </c>
      <c r="O171" t="str">
        <f t="shared" si="40"/>
        <v>每次</v>
      </c>
      <c r="P171" t="str">
        <f t="shared" si="36"/>
        <v>手术费</v>
      </c>
    </row>
    <row r="172" spans="1:16">
      <c r="A172" t="str">
        <f>"处女膜修复费"</f>
        <v>处女膜修复费</v>
      </c>
      <c r="B172" t="str">
        <f>"013313000100000"</f>
        <v>013313000100000</v>
      </c>
      <c r="C172" t="str">
        <f t="shared" si="34"/>
        <v>手术</v>
      </c>
      <c r="G172">
        <v>707</v>
      </c>
      <c r="I172">
        <v>1</v>
      </c>
      <c r="K172" t="str">
        <f>"CNMXFF"</f>
        <v>CNMXFF</v>
      </c>
      <c r="L172" t="str">
        <f>"TVEWTX"</f>
        <v>TVEWTX</v>
      </c>
      <c r="M172">
        <v>707</v>
      </c>
      <c r="O172" t="str">
        <f t="shared" si="40"/>
        <v>每次</v>
      </c>
      <c r="P172" t="str">
        <f t="shared" si="36"/>
        <v>手术费</v>
      </c>
    </row>
    <row r="173" spans="1:16">
      <c r="A173" t="str">
        <f>"宫颈部分切除费"</f>
        <v>宫颈部分切除费</v>
      </c>
      <c r="B173" t="str">
        <f>"013313000190000"</f>
        <v>013313000190000</v>
      </c>
      <c r="C173" t="str">
        <f t="shared" si="34"/>
        <v>手术</v>
      </c>
      <c r="G173">
        <v>888</v>
      </c>
      <c r="I173">
        <v>1</v>
      </c>
      <c r="K173" t="str">
        <f>"GJBFQCF"</f>
        <v>GJBFQCF</v>
      </c>
      <c r="L173" t="str">
        <f>"PCUWABX"</f>
        <v>PCUWABX</v>
      </c>
      <c r="M173">
        <v>888</v>
      </c>
      <c r="O173" t="str">
        <f t="shared" si="40"/>
        <v>每次</v>
      </c>
      <c r="P173" t="str">
        <f t="shared" si="36"/>
        <v>手术费</v>
      </c>
    </row>
    <row r="174" spans="1:16">
      <c r="A174" t="str">
        <f>"人工流产费（常规）"</f>
        <v>人工流产费（常规）</v>
      </c>
      <c r="B174" t="str">
        <f>"013313000230000"</f>
        <v>013313000230000</v>
      </c>
      <c r="C174" t="str">
        <f t="shared" si="34"/>
        <v>手术</v>
      </c>
      <c r="G174">
        <v>259</v>
      </c>
      <c r="I174">
        <v>1</v>
      </c>
      <c r="K174" t="str">
        <f>"RGLCFCG"</f>
        <v>RGLCFCG</v>
      </c>
      <c r="L174" t="str">
        <f>"WAIUXIF"</f>
        <v>WAIUXIF</v>
      </c>
      <c r="M174">
        <v>259</v>
      </c>
      <c r="O174" t="str">
        <f t="shared" si="40"/>
        <v>每次</v>
      </c>
      <c r="P174" t="str">
        <f t="shared" si="36"/>
        <v>手术费</v>
      </c>
    </row>
    <row r="175" spans="1:16">
      <c r="A175" t="str">
        <f>"人工流产费（复杂）"</f>
        <v>人工流产费（复杂）</v>
      </c>
      <c r="B175" t="str">
        <f>"013313000240000"</f>
        <v>013313000240000</v>
      </c>
      <c r="C175" t="str">
        <f t="shared" si="34"/>
        <v>手术</v>
      </c>
      <c r="G175">
        <v>337</v>
      </c>
      <c r="I175">
        <v>1</v>
      </c>
      <c r="K175" t="str">
        <f>"RGLCFFZ"</f>
        <v>RGLCFFZ</v>
      </c>
      <c r="L175" t="str">
        <f>"WAIUXTV"</f>
        <v>WAIUXTV</v>
      </c>
      <c r="M175">
        <v>337</v>
      </c>
      <c r="O175" t="str">
        <f t="shared" si="40"/>
        <v>每次</v>
      </c>
      <c r="P175" t="str">
        <f t="shared" si="36"/>
        <v>手术费</v>
      </c>
    </row>
    <row r="176" spans="1:16">
      <c r="A176" t="str">
        <f>"清宫费（常规）"</f>
        <v>清宫费（常规）</v>
      </c>
      <c r="B176" t="str">
        <f>"013313000250000"</f>
        <v>013313000250000</v>
      </c>
      <c r="C176" t="str">
        <f t="shared" si="34"/>
        <v>手术</v>
      </c>
      <c r="G176">
        <v>207</v>
      </c>
      <c r="I176">
        <v>1</v>
      </c>
      <c r="K176" t="str">
        <f>"QGFCG"</f>
        <v>QGFCG</v>
      </c>
      <c r="L176" t="str">
        <f>"IPXIF"</f>
        <v>IPXIF</v>
      </c>
      <c r="M176">
        <v>207</v>
      </c>
      <c r="O176" t="str">
        <f t="shared" si="40"/>
        <v>每次</v>
      </c>
      <c r="P176" t="str">
        <f t="shared" si="36"/>
        <v>手术费</v>
      </c>
    </row>
    <row r="177" spans="1:16">
      <c r="A177" t="str">
        <f>"清宫费（常规）-宫腔组织吸取（扩展）"</f>
        <v>清宫费（常规）-宫腔组织吸取（扩展）</v>
      </c>
      <c r="B177" t="str">
        <f>"013313000250100"</f>
        <v>013313000250100</v>
      </c>
      <c r="C177" t="str">
        <f t="shared" si="34"/>
        <v>手术</v>
      </c>
      <c r="G177">
        <v>207</v>
      </c>
      <c r="I177">
        <v>1</v>
      </c>
      <c r="K177" t="str">
        <f>"QGFCGGQZZXQKZ"</f>
        <v>QGFCGGQZZXQKZ</v>
      </c>
      <c r="L177" t="str">
        <f>"IPXIFPEXXKBRN"</f>
        <v>IPXIFPEXXKBRN</v>
      </c>
      <c r="M177">
        <v>207</v>
      </c>
      <c r="O177" t="str">
        <f t="shared" si="40"/>
        <v>每次</v>
      </c>
      <c r="P177" t="str">
        <f t="shared" si="36"/>
        <v>手术费</v>
      </c>
    </row>
    <row r="178" spans="1:16">
      <c r="A178" t="str">
        <f>"清宫费（常规）-刮宫（扩展）"</f>
        <v>清宫费（常规）-刮宫（扩展）</v>
      </c>
      <c r="B178" t="str">
        <f>"013313000250200"</f>
        <v>013313000250200</v>
      </c>
      <c r="C178" t="str">
        <f t="shared" si="34"/>
        <v>手术</v>
      </c>
      <c r="G178">
        <v>207</v>
      </c>
      <c r="I178">
        <v>1</v>
      </c>
      <c r="K178" t="str">
        <f>"QGFCGGGKZ"</f>
        <v>QGFCGGGKZ</v>
      </c>
      <c r="L178" t="str">
        <f>"IPXIFTPRN"</f>
        <v>IPXIFTPRN</v>
      </c>
      <c r="M178">
        <v>207</v>
      </c>
      <c r="O178" t="str">
        <f t="shared" si="40"/>
        <v>每次</v>
      </c>
      <c r="P178" t="str">
        <f t="shared" si="36"/>
        <v>手术费</v>
      </c>
    </row>
    <row r="179" spans="1:16">
      <c r="A179" t="str">
        <f>"清宫费（复杂）"</f>
        <v>清宫费（复杂）</v>
      </c>
      <c r="B179" t="str">
        <f>"013313000260000"</f>
        <v>013313000260000</v>
      </c>
      <c r="C179" t="str">
        <f t="shared" si="34"/>
        <v>手术</v>
      </c>
      <c r="G179">
        <v>405</v>
      </c>
      <c r="I179">
        <v>1</v>
      </c>
      <c r="K179" t="str">
        <f>"QGFFZ"</f>
        <v>QGFFZ</v>
      </c>
      <c r="L179" t="str">
        <f>"IPXTV"</f>
        <v>IPXTV</v>
      </c>
      <c r="M179">
        <v>405</v>
      </c>
      <c r="O179" t="str">
        <f t="shared" si="40"/>
        <v>每次</v>
      </c>
      <c r="P179" t="str">
        <f t="shared" si="36"/>
        <v>手术费</v>
      </c>
    </row>
    <row r="180" spans="1:16">
      <c r="A180" t="str">
        <f>"清宫费（复杂）-分段诊刮（扩展）"</f>
        <v>清宫费（复杂）-分段诊刮（扩展）</v>
      </c>
      <c r="B180" t="str">
        <f>"013313000260100"</f>
        <v>013313000260100</v>
      </c>
      <c r="C180" t="str">
        <f t="shared" si="34"/>
        <v>手术</v>
      </c>
      <c r="G180">
        <v>405</v>
      </c>
      <c r="I180">
        <v>1</v>
      </c>
      <c r="K180" t="str">
        <f>"QGFFZFDZGKZ"</f>
        <v>QGFFZFDZGKZ</v>
      </c>
      <c r="L180" t="str">
        <f>"IPXTVWWYTRN"</f>
        <v>IPXTVWWYTRN</v>
      </c>
      <c r="M180">
        <v>405</v>
      </c>
      <c r="O180" t="str">
        <f t="shared" si="40"/>
        <v>每次</v>
      </c>
      <c r="P180" t="str">
        <f t="shared" si="36"/>
        <v>手术费</v>
      </c>
    </row>
    <row r="181" spans="1:16">
      <c r="A181" t="str">
        <f>"宫腔异物取出费"</f>
        <v>宫腔异物取出费</v>
      </c>
      <c r="B181" t="str">
        <f>"013313000280000"</f>
        <v>013313000280000</v>
      </c>
      <c r="C181" t="str">
        <f t="shared" si="34"/>
        <v>手术</v>
      </c>
      <c r="G181">
        <v>689</v>
      </c>
      <c r="I181">
        <v>1</v>
      </c>
      <c r="K181" t="str">
        <f>"GQYWQCF"</f>
        <v>GQYWQCF</v>
      </c>
      <c r="L181" t="str">
        <f>"PENTBBX"</f>
        <v>PENTBBX</v>
      </c>
      <c r="M181">
        <v>689</v>
      </c>
      <c r="O181" t="str">
        <f t="shared" si="40"/>
        <v>每次</v>
      </c>
      <c r="P181" t="str">
        <f t="shared" si="36"/>
        <v>手术费</v>
      </c>
    </row>
    <row r="182" spans="1:16">
      <c r="A182" t="str">
        <f>"宫内节育器放置费"</f>
        <v>宫内节育器放置费</v>
      </c>
      <c r="B182" t="str">
        <f>"013313000290000"</f>
        <v>013313000290000</v>
      </c>
      <c r="C182" t="str">
        <f t="shared" si="34"/>
        <v>手术</v>
      </c>
      <c r="G182">
        <v>146</v>
      </c>
      <c r="I182">
        <v>1</v>
      </c>
      <c r="K182" t="str">
        <f>"GNJYQFZF"</f>
        <v>GNJYQFZF</v>
      </c>
      <c r="L182" t="str">
        <f>"PMAYKYLX"</f>
        <v>PMAYKYLX</v>
      </c>
      <c r="M182">
        <v>146</v>
      </c>
      <c r="O182" t="str">
        <f t="shared" si="40"/>
        <v>每次</v>
      </c>
      <c r="P182" t="str">
        <f t="shared" si="36"/>
        <v>手术费</v>
      </c>
    </row>
    <row r="183" spans="1:16">
      <c r="A183" t="str">
        <f>"宫内节育器取出费"</f>
        <v>宫内节育器取出费</v>
      </c>
      <c r="B183" t="str">
        <f>"013313000300000"</f>
        <v>013313000300000</v>
      </c>
      <c r="C183" t="str">
        <f t="shared" si="34"/>
        <v>手术</v>
      </c>
      <c r="G183">
        <v>146</v>
      </c>
      <c r="I183">
        <v>1</v>
      </c>
      <c r="K183" t="str">
        <f>"GNJYQQCF"</f>
        <v>GNJYQQCF</v>
      </c>
      <c r="L183" t="str">
        <f>"PMAYKBBX"</f>
        <v>PMAYKBBX</v>
      </c>
      <c r="M183">
        <v>146</v>
      </c>
      <c r="O183" t="str">
        <f t="shared" si="40"/>
        <v>每次</v>
      </c>
      <c r="P183" t="str">
        <f t="shared" si="36"/>
        <v>手术费</v>
      </c>
    </row>
    <row r="184" spans="1:16">
      <c r="A184" t="str">
        <f>"子宫活检费"</f>
        <v>子宫活检费</v>
      </c>
      <c r="B184" t="str">
        <f>"013313000310000"</f>
        <v>013313000310000</v>
      </c>
      <c r="C184" t="str">
        <f t="shared" si="34"/>
        <v>手术</v>
      </c>
      <c r="G184">
        <v>67</v>
      </c>
      <c r="I184">
        <v>1</v>
      </c>
      <c r="K184" t="str">
        <f>"ZGHJF"</f>
        <v>ZGHJF</v>
      </c>
      <c r="L184" t="str">
        <f>"BPISX"</f>
        <v>BPISX</v>
      </c>
      <c r="M184">
        <v>67</v>
      </c>
      <c r="O184" t="str">
        <f t="shared" si="40"/>
        <v>每次</v>
      </c>
      <c r="P184" t="str">
        <f t="shared" si="36"/>
        <v>手术费</v>
      </c>
    </row>
    <row r="185" spans="1:16">
      <c r="A185" t="str">
        <f>"子宫内膜息肉去除费"</f>
        <v>子宫内膜息肉去除费</v>
      </c>
      <c r="B185" t="str">
        <f>"013313000340000"</f>
        <v>013313000340000</v>
      </c>
      <c r="C185" t="str">
        <f t="shared" si="34"/>
        <v>手术</v>
      </c>
      <c r="G185">
        <v>1920</v>
      </c>
      <c r="I185">
        <v>1</v>
      </c>
      <c r="K185" t="str">
        <f>"ZGNMXRQCF"</f>
        <v>ZGNMXRQCF</v>
      </c>
      <c r="L185" t="str">
        <f>"BPMETMFBX"</f>
        <v>BPMETMFBX</v>
      </c>
      <c r="M185">
        <v>1920</v>
      </c>
      <c r="O185" t="str">
        <f t="shared" si="40"/>
        <v>每次</v>
      </c>
      <c r="P185" t="str">
        <f t="shared" si="36"/>
        <v>手术费</v>
      </c>
    </row>
    <row r="186" spans="1:16">
      <c r="A186" t="str">
        <f>"子宫内膜息肉去除费-宫颈管息肉去除（减收）"</f>
        <v>子宫内膜息肉去除费-宫颈管息肉去除（减收）</v>
      </c>
      <c r="B186" t="str">
        <f>"013313000340001"</f>
        <v>013313000340001</v>
      </c>
      <c r="C186" t="str">
        <f t="shared" si="34"/>
        <v>手术</v>
      </c>
      <c r="G186">
        <v>1728</v>
      </c>
      <c r="I186">
        <v>1</v>
      </c>
      <c r="K186" t="str">
        <f>"ZGNMXRQCFGJGXRQC"</f>
        <v>ZGNMXRQCFGJGXRQC</v>
      </c>
      <c r="L186" t="str">
        <f>"BPMETMFBXPCTTMFB"</f>
        <v>BPMETMFBXPCTTMFB</v>
      </c>
      <c r="M186">
        <v>1728</v>
      </c>
      <c r="O186" t="str">
        <f t="shared" si="40"/>
        <v>每次</v>
      </c>
      <c r="P186" t="str">
        <f t="shared" si="36"/>
        <v>手术费</v>
      </c>
    </row>
    <row r="187" spans="1:16">
      <c r="A187" t="str">
        <f>"骨伤制动外固定费（小）"</f>
        <v>骨伤制动外固定费（小）</v>
      </c>
      <c r="B187" t="str">
        <f>"013315000010000"</f>
        <v>013315000010000</v>
      </c>
      <c r="C187" t="str">
        <f t="shared" ref="C187:C190" si="41">"治疗"</f>
        <v>治疗</v>
      </c>
      <c r="G187">
        <v>54</v>
      </c>
      <c r="K187" t="str">
        <f>"GSZDWGDFX"</f>
        <v>GSZDWGDFX</v>
      </c>
      <c r="L187" t="str">
        <f>"MWRFQLPXI"</f>
        <v>MWRFQLPXI</v>
      </c>
      <c r="M187">
        <v>54</v>
      </c>
      <c r="O187" t="str">
        <f t="shared" ref="O187:O190" si="42">"个"</f>
        <v>个</v>
      </c>
      <c r="P187" t="str">
        <f t="shared" ref="P187:P190" si="43">"治疗费"</f>
        <v>治疗费</v>
      </c>
    </row>
    <row r="188" spans="1:16">
      <c r="A188" t="str">
        <f>"骨伤制动外固定费（小）-儿童（加收）"</f>
        <v>骨伤制动外固定费（小）-儿童（加收）</v>
      </c>
      <c r="B188" t="str">
        <f>"013315000010001"</f>
        <v>013315000010001</v>
      </c>
      <c r="C188" t="str">
        <f t="shared" si="41"/>
        <v>治疗</v>
      </c>
      <c r="G188">
        <v>16.2</v>
      </c>
      <c r="K188" t="str">
        <f>"GSZDWGDFXETJS"</f>
        <v>GSZDWGDFXETJS</v>
      </c>
      <c r="L188" t="str">
        <f>"MWRFQLPXIQULN"</f>
        <v>MWRFQLPXIQULN</v>
      </c>
      <c r="M188">
        <v>16.2</v>
      </c>
      <c r="O188" t="str">
        <f t="shared" si="42"/>
        <v>个</v>
      </c>
      <c r="P188" t="str">
        <f t="shared" si="43"/>
        <v>治疗费</v>
      </c>
    </row>
    <row r="189" spans="1:16">
      <c r="A189" t="str">
        <f>"骨伤制动外固定费（中）"</f>
        <v>骨伤制动外固定费（中）</v>
      </c>
      <c r="B189" t="str">
        <f>"013315000020000"</f>
        <v>013315000020000</v>
      </c>
      <c r="C189" t="str">
        <f t="shared" si="41"/>
        <v>治疗</v>
      </c>
      <c r="G189">
        <v>149</v>
      </c>
      <c r="K189" t="str">
        <f>"GSZDWGDFZ"</f>
        <v>GSZDWGDFZ</v>
      </c>
      <c r="L189" t="str">
        <f>"MWRFQLPXK"</f>
        <v>MWRFQLPXK</v>
      </c>
      <c r="M189">
        <v>149</v>
      </c>
      <c r="O189" t="str">
        <f t="shared" si="42"/>
        <v>个</v>
      </c>
      <c r="P189" t="str">
        <f t="shared" si="43"/>
        <v>治疗费</v>
      </c>
    </row>
    <row r="190" spans="1:16">
      <c r="A190" t="str">
        <f>"骨伤制动外固定费（中）-儿童（加收）"</f>
        <v>骨伤制动外固定费（中）-儿童（加收）</v>
      </c>
      <c r="B190" t="str">
        <f>"013315000020001"</f>
        <v>013315000020001</v>
      </c>
      <c r="C190" t="str">
        <f t="shared" si="41"/>
        <v>治疗</v>
      </c>
      <c r="G190">
        <v>44.7</v>
      </c>
      <c r="K190" t="str">
        <f>"GSZDWGDFZETJS"</f>
        <v>GSZDWGDFZETJS</v>
      </c>
      <c r="L190" t="str">
        <f>"MWRFQLPXKQULN"</f>
        <v>MWRFQLPXKQULN</v>
      </c>
      <c r="M190">
        <v>44.7</v>
      </c>
      <c r="O190" t="str">
        <f t="shared" si="42"/>
        <v>个</v>
      </c>
      <c r="P190" t="str">
        <f t="shared" si="43"/>
        <v>治疗费</v>
      </c>
    </row>
    <row r="191" spans="1:16">
      <c r="A191" t="str">
        <f>"浅表异物取出费"</f>
        <v>浅表异物取出费</v>
      </c>
      <c r="B191" t="str">
        <f>"013316000010000"</f>
        <v>013316000010000</v>
      </c>
      <c r="C191" t="str">
        <f t="shared" ref="C191:C194" si="44">"手术"</f>
        <v>手术</v>
      </c>
      <c r="G191">
        <v>138</v>
      </c>
      <c r="K191" t="str">
        <f>"QBYWQCF"</f>
        <v>QBYWQCF</v>
      </c>
      <c r="L191" t="str">
        <f>"IGNTBBX"</f>
        <v>IGNTBBX</v>
      </c>
      <c r="M191">
        <v>138</v>
      </c>
      <c r="O191" t="str">
        <f>"每个 皮损"</f>
        <v>每个 皮损</v>
      </c>
      <c r="P191" t="str">
        <f t="shared" ref="P191:P194" si="45">"手术费"</f>
        <v>手术费</v>
      </c>
    </row>
    <row r="192" spans="1:16">
      <c r="A192" t="str">
        <f>"浅表异物取出费-儿童（加收)"</f>
        <v>浅表异物取出费-儿童（加收)</v>
      </c>
      <c r="B192" t="str">
        <f>"013316000010001"</f>
        <v>013316000010001</v>
      </c>
      <c r="C192" t="str">
        <f t="shared" si="44"/>
        <v>手术</v>
      </c>
      <c r="G192">
        <v>41.4</v>
      </c>
      <c r="K192" t="str">
        <f>"QBYWQCFETJS"</f>
        <v>QBYWQCFETJS</v>
      </c>
      <c r="L192" t="str">
        <f>"IGNTBBXQULN"</f>
        <v>IGNTBBXQULN</v>
      </c>
      <c r="M192">
        <v>41.4</v>
      </c>
      <c r="O192" t="str">
        <f>"每个 皮损"</f>
        <v>每个 皮损</v>
      </c>
      <c r="P192" t="str">
        <f t="shared" si="45"/>
        <v>手术费</v>
      </c>
    </row>
    <row r="193" spans="1:16">
      <c r="A193" t="str">
        <f>"浅表肿物去除费"</f>
        <v>浅表肿物去除费</v>
      </c>
      <c r="B193" t="str">
        <f>"013316000030000"</f>
        <v>013316000030000</v>
      </c>
      <c r="C193" t="str">
        <f t="shared" si="44"/>
        <v>手术</v>
      </c>
      <c r="G193">
        <v>136</v>
      </c>
      <c r="K193" t="str">
        <f>"QBZWQCF"</f>
        <v>QBZWQCF</v>
      </c>
      <c r="L193" t="str">
        <f>"IGETFBX"</f>
        <v>IGETFBX</v>
      </c>
      <c r="M193">
        <v>136</v>
      </c>
      <c r="O193" t="str">
        <f>"个"</f>
        <v>个</v>
      </c>
      <c r="P193" t="str">
        <f t="shared" si="45"/>
        <v>手术费</v>
      </c>
    </row>
    <row r="194" spans="1:16">
      <c r="A194" t="str">
        <f>"浅表肿物去除费-儿童（加收）"</f>
        <v>浅表肿物去除费-儿童（加收）</v>
      </c>
      <c r="B194" t="str">
        <f>"013316000030001"</f>
        <v>013316000030001</v>
      </c>
      <c r="C194" t="str">
        <f t="shared" si="44"/>
        <v>手术</v>
      </c>
      <c r="G194">
        <v>40.8</v>
      </c>
      <c r="K194" t="str">
        <f>"QBZWQCFETJS"</f>
        <v>QBZWQCFETJS</v>
      </c>
      <c r="L194" t="str">
        <f>"IGETFBXQULN"</f>
        <v>IGETFBXQULN</v>
      </c>
      <c r="M194">
        <v>40.8</v>
      </c>
      <c r="O194" t="str">
        <f>"个"</f>
        <v>个</v>
      </c>
      <c r="P194" t="str">
        <f t="shared" si="45"/>
        <v>手术费</v>
      </c>
    </row>
    <row r="195" spans="1:16">
      <c r="A195" t="str">
        <f>"中药贴敷"</f>
        <v>中药贴敷</v>
      </c>
      <c r="B195" t="str">
        <f>"014100000010000"</f>
        <v>014100000010000</v>
      </c>
      <c r="C195" t="str">
        <f t="shared" ref="C195:C251" si="46">"治疗"</f>
        <v>治疗</v>
      </c>
      <c r="G195">
        <v>53</v>
      </c>
      <c r="I195" t="str">
        <f t="shared" ref="I195:I251" si="47">"次"</f>
        <v>次</v>
      </c>
      <c r="K195" t="str">
        <f>"ZYTF"</f>
        <v>ZYTF</v>
      </c>
      <c r="L195" t="str">
        <f>"KAMG"</f>
        <v>KAMG</v>
      </c>
      <c r="M195">
        <v>53</v>
      </c>
      <c r="N195" t="str">
        <f>"014100000010000"</f>
        <v>014100000010000</v>
      </c>
      <c r="O195" t="str">
        <f t="shared" ref="O195:O199" si="48">"次"</f>
        <v>次</v>
      </c>
      <c r="P195" t="str">
        <f t="shared" ref="P195:P251" si="49">"治疗费"</f>
        <v>治疗费</v>
      </c>
    </row>
    <row r="196" spans="1:16">
      <c r="A196" t="str">
        <f>"中药贴敷-中药热奄包（扩展）"</f>
        <v>中药贴敷-中药热奄包（扩展）</v>
      </c>
      <c r="B196" t="str">
        <f>"014100000010100"</f>
        <v>014100000010100</v>
      </c>
      <c r="C196" t="str">
        <f t="shared" si="46"/>
        <v>治疗</v>
      </c>
      <c r="G196">
        <v>53</v>
      </c>
      <c r="I196" t="str">
        <f t="shared" si="47"/>
        <v>次</v>
      </c>
      <c r="K196" t="str">
        <f>"ZYTFZYRYBKZ"</f>
        <v>ZYTFZYRYBKZ</v>
      </c>
      <c r="L196" t="str">
        <f>"KAMGKARDQRN"</f>
        <v>KAMGKARDQRN</v>
      </c>
      <c r="M196">
        <v>53</v>
      </c>
      <c r="N196" t="str">
        <f>"014100000010100"</f>
        <v>014100000010100</v>
      </c>
      <c r="O196" t="str">
        <f t="shared" si="48"/>
        <v>次</v>
      </c>
      <c r="P196" t="str">
        <f t="shared" si="49"/>
        <v>治疗费</v>
      </c>
    </row>
    <row r="197" spans="1:16">
      <c r="A197" t="str">
        <f>"中药涂擦"</f>
        <v>中药涂擦</v>
      </c>
      <c r="B197" t="str">
        <f>"014100000070000"</f>
        <v>014100000070000</v>
      </c>
      <c r="C197" t="str">
        <f t="shared" si="46"/>
        <v>治疗</v>
      </c>
      <c r="G197">
        <v>15</v>
      </c>
      <c r="I197" t="str">
        <f t="shared" si="47"/>
        <v>次</v>
      </c>
      <c r="K197" t="str">
        <f>"ZYTC"</f>
        <v>ZYTC</v>
      </c>
      <c r="L197" t="str">
        <f>"KAIR"</f>
        <v>KAIR</v>
      </c>
      <c r="M197">
        <v>15</v>
      </c>
      <c r="N197" t="str">
        <f>"014100000070000"</f>
        <v>014100000070000</v>
      </c>
      <c r="O197" t="str">
        <f t="shared" si="48"/>
        <v>次</v>
      </c>
      <c r="P197" t="str">
        <f t="shared" si="49"/>
        <v>治疗费</v>
      </c>
    </row>
    <row r="198" spans="1:16">
      <c r="A198" t="str">
        <f>"中医熏洗"</f>
        <v>中医熏洗</v>
      </c>
      <c r="B198" t="str">
        <f>"014100000080000"</f>
        <v>014100000080000</v>
      </c>
      <c r="C198" t="str">
        <f t="shared" si="46"/>
        <v>治疗</v>
      </c>
      <c r="G198">
        <v>43</v>
      </c>
      <c r="I198" t="str">
        <f t="shared" si="47"/>
        <v>次</v>
      </c>
      <c r="K198" t="str">
        <f>"ZYXX"</f>
        <v>ZYXX</v>
      </c>
      <c r="L198" t="str">
        <f>"KATI"</f>
        <v>KATI</v>
      </c>
      <c r="M198">
        <v>43</v>
      </c>
      <c r="N198" t="str">
        <f>"014100000080000"</f>
        <v>014100000080000</v>
      </c>
      <c r="O198" t="str">
        <f t="shared" si="48"/>
        <v>次</v>
      </c>
      <c r="P198" t="str">
        <f t="shared" si="49"/>
        <v>治疗费</v>
      </c>
    </row>
    <row r="199" spans="1:16">
      <c r="A199" t="str">
        <f>"中医穴位放血治疗"</f>
        <v>中医穴位放血治疗</v>
      </c>
      <c r="B199" t="str">
        <f>"014100000150000"</f>
        <v>014100000150000</v>
      </c>
      <c r="C199" t="str">
        <f t="shared" si="46"/>
        <v>治疗</v>
      </c>
      <c r="G199">
        <v>56</v>
      </c>
      <c r="I199" t="str">
        <f t="shared" si="47"/>
        <v>次</v>
      </c>
      <c r="K199" t="str">
        <f>"ZYXWFXZL"</f>
        <v>ZYXWFXZL</v>
      </c>
      <c r="L199" t="str">
        <f>"KAPWYTIU"</f>
        <v>KAPWYTIU</v>
      </c>
      <c r="M199">
        <v>56</v>
      </c>
      <c r="N199" t="str">
        <f>"014100000150000"</f>
        <v>014100000150000</v>
      </c>
      <c r="O199" t="str">
        <f t="shared" si="48"/>
        <v>次</v>
      </c>
      <c r="P199" t="str">
        <f t="shared" si="49"/>
        <v>治疗费</v>
      </c>
    </row>
    <row r="200" spans="1:16">
      <c r="A200" t="str">
        <f>"中医穴位放血治疗-甲床放血（加收）"</f>
        <v>中医穴位放血治疗-甲床放血（加收）</v>
      </c>
      <c r="B200" t="str">
        <f>"014100000150001"</f>
        <v>014100000150001</v>
      </c>
      <c r="C200" t="str">
        <f t="shared" si="46"/>
        <v>治疗</v>
      </c>
      <c r="G200">
        <v>5.6</v>
      </c>
      <c r="I200" t="str">
        <f t="shared" si="47"/>
        <v>次</v>
      </c>
      <c r="K200" t="str">
        <f>"ZYXWFXZLJCFXJS"</f>
        <v>ZYXWFXZLJCFXJS</v>
      </c>
      <c r="L200" t="str">
        <f>"KAPWYTIULYYTLN"</f>
        <v>KAPWYTIULYYTLN</v>
      </c>
      <c r="M200">
        <v>5.6</v>
      </c>
      <c r="N200" t="str">
        <f>"014100000150001"</f>
        <v>014100000150001</v>
      </c>
      <c r="O200" t="str">
        <f>"每甲"</f>
        <v>每甲</v>
      </c>
      <c r="P200" t="str">
        <f t="shared" si="49"/>
        <v>治疗费</v>
      </c>
    </row>
    <row r="201" spans="1:16">
      <c r="A201" t="str">
        <f>"中医穴位放血治疗-刺络放血（加收）"</f>
        <v>中医穴位放血治疗-刺络放血（加收）</v>
      </c>
      <c r="B201" t="str">
        <f>"014100000150002"</f>
        <v>014100000150002</v>
      </c>
      <c r="C201" t="str">
        <f t="shared" si="46"/>
        <v>治疗</v>
      </c>
      <c r="G201">
        <v>5.6</v>
      </c>
      <c r="I201" t="str">
        <f t="shared" si="47"/>
        <v>次</v>
      </c>
      <c r="K201" t="str">
        <f>"ZYXWFXZLCLFXJS"</f>
        <v>ZYXWFXZLCLFXJS</v>
      </c>
      <c r="L201" t="str">
        <f>"KAPWYTIUGXYTLN"</f>
        <v>KAPWYTIUGXYTLN</v>
      </c>
      <c r="M201">
        <v>5.6</v>
      </c>
      <c r="N201" t="str">
        <f>"014100000150002"</f>
        <v>014100000150002</v>
      </c>
      <c r="O201" t="str">
        <f>"次"</f>
        <v>次</v>
      </c>
      <c r="P201" t="str">
        <f t="shared" si="49"/>
        <v>治疗费</v>
      </c>
    </row>
    <row r="202" spans="1:16">
      <c r="A202" t="str">
        <f>"中医刮痧"</f>
        <v>中医刮痧</v>
      </c>
      <c r="B202" t="str">
        <f>"014100000170000"</f>
        <v>014100000170000</v>
      </c>
      <c r="C202" t="str">
        <f t="shared" si="46"/>
        <v>治疗</v>
      </c>
      <c r="G202">
        <v>79</v>
      </c>
      <c r="I202" t="str">
        <f t="shared" si="47"/>
        <v>次</v>
      </c>
      <c r="K202" t="str">
        <f>"ZYG"</f>
        <v>ZYG</v>
      </c>
      <c r="L202" t="str">
        <f>"KATU"</f>
        <v>KATU</v>
      </c>
      <c r="M202">
        <v>79</v>
      </c>
      <c r="N202" t="str">
        <f>"014100000170000"</f>
        <v>014100000170000</v>
      </c>
      <c r="O202" t="str">
        <f>"次"</f>
        <v>次</v>
      </c>
      <c r="P202" t="str">
        <f t="shared" si="49"/>
        <v>治疗费</v>
      </c>
    </row>
    <row r="203" spans="1:16">
      <c r="A203" t="str">
        <f>"常规针法"</f>
        <v>常规针法</v>
      </c>
      <c r="B203" t="str">
        <f>"014200000010000"</f>
        <v>014200000010000</v>
      </c>
      <c r="C203" t="str">
        <f t="shared" si="46"/>
        <v>治疗</v>
      </c>
      <c r="G203">
        <v>84</v>
      </c>
      <c r="I203" t="str">
        <f t="shared" si="47"/>
        <v>次</v>
      </c>
      <c r="K203" t="str">
        <f>"CGZF"</f>
        <v>CGZF</v>
      </c>
      <c r="L203" t="str">
        <f>"IFQI"</f>
        <v>IFQI</v>
      </c>
      <c r="M203">
        <v>84</v>
      </c>
      <c r="O203" t="str">
        <f t="shared" ref="O203:O208" si="50">"次 . 日"</f>
        <v>次 . 日</v>
      </c>
      <c r="P203" t="str">
        <f t="shared" si="49"/>
        <v>治疗费</v>
      </c>
    </row>
    <row r="204" spans="1:16">
      <c r="A204" t="str">
        <f>"常规针法-儿童（加收）"</f>
        <v>常规针法-儿童（加收）</v>
      </c>
      <c r="B204" t="str">
        <f>"014200000010001"</f>
        <v>014200000010001</v>
      </c>
      <c r="C204" t="str">
        <f t="shared" si="46"/>
        <v>治疗</v>
      </c>
      <c r="G204">
        <v>24</v>
      </c>
      <c r="I204" t="str">
        <f t="shared" si="47"/>
        <v>次</v>
      </c>
      <c r="K204" t="str">
        <f>"CGZFETJS"</f>
        <v>CGZFETJS</v>
      </c>
      <c r="L204" t="str">
        <f>"IFQIQULN"</f>
        <v>IFQIQULN</v>
      </c>
      <c r="M204">
        <v>80</v>
      </c>
      <c r="O204" t="str">
        <f t="shared" si="50"/>
        <v>次 . 日</v>
      </c>
      <c r="P204" t="str">
        <f t="shared" si="49"/>
        <v>治疗费</v>
      </c>
    </row>
    <row r="205" spans="1:16">
      <c r="A205" t="str">
        <f>"特殊针具针法"</f>
        <v>特殊针具针法</v>
      </c>
      <c r="B205" t="str">
        <f>"014200000020000"</f>
        <v>014200000020000</v>
      </c>
      <c r="C205" t="str">
        <f t="shared" si="46"/>
        <v>治疗</v>
      </c>
      <c r="G205">
        <v>108</v>
      </c>
      <c r="I205" t="str">
        <f t="shared" si="47"/>
        <v>次</v>
      </c>
      <c r="K205" t="str">
        <f>"TSZJZF"</f>
        <v>TSZJZF</v>
      </c>
      <c r="L205" t="str">
        <f>"TGQHQI"</f>
        <v>TGQHQI</v>
      </c>
      <c r="M205">
        <v>108</v>
      </c>
      <c r="O205" t="str">
        <f t="shared" si="50"/>
        <v>次 . 日</v>
      </c>
      <c r="P205" t="str">
        <f t="shared" si="49"/>
        <v>治疗费</v>
      </c>
    </row>
    <row r="206" spans="1:16">
      <c r="A206" t="str">
        <f>"特殊针具针法-儿童（加收）"</f>
        <v>特殊针具针法-儿童（加收）</v>
      </c>
      <c r="B206" t="str">
        <f>"014200000020001"</f>
        <v>014200000020001</v>
      </c>
      <c r="C206" t="str">
        <f t="shared" si="46"/>
        <v>治疗</v>
      </c>
      <c r="G206">
        <v>31.2</v>
      </c>
      <c r="I206" t="str">
        <f t="shared" si="47"/>
        <v>次</v>
      </c>
      <c r="K206" t="str">
        <f>"TSZJZFETJS"</f>
        <v>TSZJZFETJS</v>
      </c>
      <c r="L206" t="str">
        <f>"TGQHQIQULN"</f>
        <v>TGQHQIQULN</v>
      </c>
      <c r="M206">
        <v>104</v>
      </c>
      <c r="O206" t="str">
        <f t="shared" si="50"/>
        <v>次 . 日</v>
      </c>
      <c r="P206" t="str">
        <f t="shared" si="49"/>
        <v>治疗费</v>
      </c>
    </row>
    <row r="207" spans="1:16">
      <c r="A207" t="str">
        <f>"特殊手法针法"</f>
        <v>特殊手法针法</v>
      </c>
      <c r="B207" t="str">
        <f>"014200000030000"</f>
        <v>014200000030000</v>
      </c>
      <c r="C207" t="str">
        <f t="shared" si="46"/>
        <v>治疗</v>
      </c>
      <c r="G207">
        <v>120</v>
      </c>
      <c r="I207" t="str">
        <f t="shared" si="47"/>
        <v>次</v>
      </c>
      <c r="K207" t="str">
        <f>"TSSFZF"</f>
        <v>TSSFZF</v>
      </c>
      <c r="L207" t="str">
        <f>"TGRIQI"</f>
        <v>TGRIQI</v>
      </c>
      <c r="M207">
        <v>120</v>
      </c>
      <c r="O207" t="str">
        <f t="shared" si="50"/>
        <v>次 . 日</v>
      </c>
      <c r="P207" t="str">
        <f t="shared" si="49"/>
        <v>治疗费</v>
      </c>
    </row>
    <row r="208" spans="1:16">
      <c r="A208" t="str">
        <f>"特殊手法针法-儿童（加收）"</f>
        <v>特殊手法针法-儿童（加收）</v>
      </c>
      <c r="B208" t="str">
        <f>"014200000030001"</f>
        <v>014200000030001</v>
      </c>
      <c r="C208" t="str">
        <f t="shared" si="46"/>
        <v>治疗</v>
      </c>
      <c r="G208">
        <v>36</v>
      </c>
      <c r="I208" t="str">
        <f t="shared" si="47"/>
        <v>次</v>
      </c>
      <c r="K208" t="str">
        <f>"TSSFZFETJS"</f>
        <v>TSSFZFETJS</v>
      </c>
      <c r="L208" t="str">
        <f>"TGRIQIQULN"</f>
        <v>TGRIQIQULN</v>
      </c>
      <c r="M208">
        <v>120</v>
      </c>
      <c r="O208" t="str">
        <f t="shared" si="50"/>
        <v>次 . 日</v>
      </c>
      <c r="P208" t="str">
        <f t="shared" si="49"/>
        <v>治疗费</v>
      </c>
    </row>
    <row r="209" spans="1:16">
      <c r="A209" t="str">
        <f>"特殊穴位（部位）针法"</f>
        <v>特殊穴位（部位）针法</v>
      </c>
      <c r="B209" t="str">
        <f>"014200000040000"</f>
        <v>014200000040000</v>
      </c>
      <c r="C209" t="str">
        <f t="shared" si="46"/>
        <v>治疗</v>
      </c>
      <c r="G209">
        <v>12</v>
      </c>
      <c r="I209" t="str">
        <f t="shared" si="47"/>
        <v>次</v>
      </c>
      <c r="K209" t="str">
        <f>"TSXWBWZF"</f>
        <v>TSXWBWZF</v>
      </c>
      <c r="L209" t="str">
        <f>"TGPWUWQI"</f>
        <v>TGPWUWQI</v>
      </c>
      <c r="M209">
        <v>12</v>
      </c>
      <c r="O209" t="str">
        <f>"每个 穴位"</f>
        <v>每个 穴位</v>
      </c>
      <c r="P209" t="str">
        <f t="shared" si="49"/>
        <v>治疗费</v>
      </c>
    </row>
    <row r="210" spans="1:16">
      <c r="A210" t="str">
        <f>"特殊穴位（部位）针法-儿童（加收）"</f>
        <v>特殊穴位（部位）针法-儿童（加收）</v>
      </c>
      <c r="B210" t="str">
        <f>"014200000040001"</f>
        <v>014200000040001</v>
      </c>
      <c r="C210" t="str">
        <f t="shared" si="46"/>
        <v>治疗</v>
      </c>
      <c r="G210">
        <v>3.3</v>
      </c>
      <c r="I210" t="str">
        <f t="shared" si="47"/>
        <v>次</v>
      </c>
      <c r="K210" t="str">
        <f>"TSXWBWZFETJS"</f>
        <v>TSXWBWZFETJS</v>
      </c>
      <c r="L210" t="str">
        <f>"TGPWUWQIQULN"</f>
        <v>TGPWUWQIQULN</v>
      </c>
      <c r="M210">
        <v>11</v>
      </c>
      <c r="O210" t="str">
        <f>"每个 穴位"</f>
        <v>每个 穴位</v>
      </c>
      <c r="P210" t="str">
        <f t="shared" si="49"/>
        <v>治疗费</v>
      </c>
    </row>
    <row r="211" spans="1:16">
      <c r="A211" t="str">
        <f>"仪器针法"</f>
        <v>仪器针法</v>
      </c>
      <c r="B211" t="str">
        <f>"014200000050000"</f>
        <v>014200000050000</v>
      </c>
      <c r="C211" t="str">
        <f t="shared" si="46"/>
        <v>治疗</v>
      </c>
      <c r="G211">
        <v>16</v>
      </c>
      <c r="I211" t="str">
        <f t="shared" si="47"/>
        <v>次</v>
      </c>
      <c r="K211" t="str">
        <f>"YQZF"</f>
        <v>YQZF</v>
      </c>
      <c r="L211" t="str">
        <f>"WKQI"</f>
        <v>WKQI</v>
      </c>
      <c r="M211">
        <v>16</v>
      </c>
      <c r="O211" t="str">
        <f t="shared" ref="O211:O216" si="51">"次 . 日"</f>
        <v>次 . 日</v>
      </c>
      <c r="P211" t="str">
        <f t="shared" si="49"/>
        <v>治疗费</v>
      </c>
    </row>
    <row r="212" spans="1:16">
      <c r="A212" t="str">
        <f>"仪器针法-儿童（加收）"</f>
        <v>仪器针法-儿童（加收）</v>
      </c>
      <c r="B212" t="str">
        <f>"014200000050001"</f>
        <v>014200000050001</v>
      </c>
      <c r="C212" t="str">
        <f t="shared" si="46"/>
        <v>治疗</v>
      </c>
      <c r="G212">
        <v>4.8</v>
      </c>
      <c r="I212" t="str">
        <f t="shared" si="47"/>
        <v>次</v>
      </c>
      <c r="K212" t="str">
        <f>"YQZFETJS"</f>
        <v>YQZFETJS</v>
      </c>
      <c r="L212" t="str">
        <f>"WKQIQULN"</f>
        <v>WKQIQULN</v>
      </c>
      <c r="M212">
        <v>16</v>
      </c>
      <c r="O212" t="str">
        <f t="shared" si="51"/>
        <v>次 . 日</v>
      </c>
      <c r="P212" t="str">
        <f t="shared" si="49"/>
        <v>治疗费</v>
      </c>
    </row>
    <row r="213" spans="1:16">
      <c r="A213" t="str">
        <f>"体表针法"</f>
        <v>体表针法</v>
      </c>
      <c r="B213" t="str">
        <f>"014200000060000"</f>
        <v>014200000060000</v>
      </c>
      <c r="C213" t="str">
        <f t="shared" si="46"/>
        <v>治疗</v>
      </c>
      <c r="G213">
        <v>35</v>
      </c>
      <c r="I213" t="str">
        <f t="shared" si="47"/>
        <v>次</v>
      </c>
      <c r="K213" t="str">
        <f>"TBZF"</f>
        <v>TBZF</v>
      </c>
      <c r="L213" t="str">
        <f>"WGQI"</f>
        <v>WGQI</v>
      </c>
      <c r="M213">
        <v>35</v>
      </c>
      <c r="O213" t="str">
        <f t="shared" si="51"/>
        <v>次 . 日</v>
      </c>
      <c r="P213" t="str">
        <f t="shared" si="49"/>
        <v>治疗费</v>
      </c>
    </row>
    <row r="214" spans="1:16">
      <c r="A214" t="str">
        <f>"体表针法-儿童（加收）"</f>
        <v>体表针法-儿童（加收）</v>
      </c>
      <c r="B214" t="str">
        <f>"014200000060001"</f>
        <v>014200000060001</v>
      </c>
      <c r="C214" t="str">
        <f t="shared" si="46"/>
        <v>治疗</v>
      </c>
      <c r="G214">
        <v>10.2</v>
      </c>
      <c r="I214" t="str">
        <f t="shared" si="47"/>
        <v>次</v>
      </c>
      <c r="K214" t="str">
        <f>"TBZFETJS"</f>
        <v>TBZFETJS</v>
      </c>
      <c r="L214" t="str">
        <f>"WGQIQULN"</f>
        <v>WGQIQULN</v>
      </c>
      <c r="M214">
        <v>34</v>
      </c>
      <c r="O214" t="str">
        <f t="shared" si="51"/>
        <v>次 . 日</v>
      </c>
      <c r="P214" t="str">
        <f t="shared" si="49"/>
        <v>治疗费</v>
      </c>
    </row>
    <row r="215" spans="1:16">
      <c r="A215" t="str">
        <f>"活体生物针法"</f>
        <v>活体生物针法</v>
      </c>
      <c r="B215" t="str">
        <f>"014200000070000"</f>
        <v>014200000070000</v>
      </c>
      <c r="C215" t="str">
        <f t="shared" si="46"/>
        <v>治疗</v>
      </c>
      <c r="G215">
        <v>100</v>
      </c>
      <c r="I215" t="str">
        <f t="shared" si="47"/>
        <v>次</v>
      </c>
      <c r="K215" t="str">
        <f>"HTSWZF"</f>
        <v>HTSWZF</v>
      </c>
      <c r="L215" t="str">
        <f>"IWTTQI"</f>
        <v>IWTTQI</v>
      </c>
      <c r="M215">
        <v>100</v>
      </c>
      <c r="O215" t="str">
        <f t="shared" si="51"/>
        <v>次 . 日</v>
      </c>
      <c r="P215" t="str">
        <f t="shared" si="49"/>
        <v>治疗费</v>
      </c>
    </row>
    <row r="216" spans="1:16">
      <c r="A216" t="str">
        <f>"活体生物针法-儿童（加收）"</f>
        <v>活体生物针法-儿童（加收）</v>
      </c>
      <c r="B216" t="str">
        <f>"014200000070001"</f>
        <v>014200000070001</v>
      </c>
      <c r="C216" t="str">
        <f t="shared" si="46"/>
        <v>治疗</v>
      </c>
      <c r="G216">
        <v>30</v>
      </c>
      <c r="I216" t="str">
        <f t="shared" si="47"/>
        <v>次</v>
      </c>
      <c r="K216" t="str">
        <f>"HTSWZFETJS"</f>
        <v>HTSWZFETJS</v>
      </c>
      <c r="L216" t="str">
        <f>"IWTTQIQULN"</f>
        <v>IWTTQIQULN</v>
      </c>
      <c r="M216">
        <v>100</v>
      </c>
      <c r="O216" t="str">
        <f t="shared" si="51"/>
        <v>次 . 日</v>
      </c>
      <c r="P216" t="str">
        <f t="shared" si="49"/>
        <v>治疗费</v>
      </c>
    </row>
    <row r="217" spans="1:16">
      <c r="A217" t="str">
        <f>"穴位埋入"</f>
        <v>穴位埋入</v>
      </c>
      <c r="B217" t="str">
        <f>"014200000080000"</f>
        <v>014200000080000</v>
      </c>
      <c r="C217" t="str">
        <f t="shared" si="46"/>
        <v>治疗</v>
      </c>
      <c r="G217">
        <v>25</v>
      </c>
      <c r="I217" t="str">
        <f t="shared" si="47"/>
        <v>次</v>
      </c>
      <c r="K217" t="str">
        <f>"XWMR"</f>
        <v>XWMR</v>
      </c>
      <c r="L217" t="str">
        <f>"PWFT"</f>
        <v>PWFT</v>
      </c>
      <c r="M217">
        <v>25</v>
      </c>
      <c r="O217" t="str">
        <f t="shared" ref="O217:O220" si="52">"每个 穴位"</f>
        <v>每个 穴位</v>
      </c>
      <c r="P217" t="str">
        <f t="shared" si="49"/>
        <v>治疗费</v>
      </c>
    </row>
    <row r="218" spans="1:16">
      <c r="A218" t="str">
        <f>"穴位埋入-儿童（加收）"</f>
        <v>穴位埋入-儿童（加收）</v>
      </c>
      <c r="B218" t="str">
        <f>"014200000080001"</f>
        <v>014200000080001</v>
      </c>
      <c r="C218" t="str">
        <f t="shared" si="46"/>
        <v>治疗</v>
      </c>
      <c r="G218">
        <v>7.5</v>
      </c>
      <c r="I218" t="str">
        <f t="shared" si="47"/>
        <v>次</v>
      </c>
      <c r="K218" t="str">
        <f>"XWMRETJS"</f>
        <v>XWMRETJS</v>
      </c>
      <c r="L218" t="str">
        <f>"PWFTQULN"</f>
        <v>PWFTQULN</v>
      </c>
      <c r="M218">
        <v>25</v>
      </c>
      <c r="O218" t="str">
        <f t="shared" si="52"/>
        <v>每个 穴位</v>
      </c>
      <c r="P218" t="str">
        <f t="shared" si="49"/>
        <v>治疗费</v>
      </c>
    </row>
    <row r="219" spans="1:16">
      <c r="A219" t="str">
        <f>"穴位注射"</f>
        <v>穴位注射</v>
      </c>
      <c r="B219" t="str">
        <f>"014200000090000"</f>
        <v>014200000090000</v>
      </c>
      <c r="C219" t="str">
        <f t="shared" si="46"/>
        <v>治疗</v>
      </c>
      <c r="G219">
        <v>12</v>
      </c>
      <c r="I219" t="str">
        <f t="shared" si="47"/>
        <v>次</v>
      </c>
      <c r="K219" t="str">
        <f>"XWZS"</f>
        <v>XWZS</v>
      </c>
      <c r="L219" t="str">
        <f>"PWIT"</f>
        <v>PWIT</v>
      </c>
      <c r="M219">
        <v>12</v>
      </c>
      <c r="O219" t="str">
        <f t="shared" si="52"/>
        <v>每个 穴位</v>
      </c>
      <c r="P219" t="str">
        <f t="shared" si="49"/>
        <v>治疗费</v>
      </c>
    </row>
    <row r="220" spans="1:16">
      <c r="A220" t="str">
        <f>"穴位注射-儿童（加收）"</f>
        <v>穴位注射-儿童（加收）</v>
      </c>
      <c r="B220" t="str">
        <f>"014200000090001"</f>
        <v>014200000090001</v>
      </c>
      <c r="C220" t="str">
        <f t="shared" si="46"/>
        <v>治疗</v>
      </c>
      <c r="G220">
        <v>3</v>
      </c>
      <c r="I220" t="str">
        <f t="shared" si="47"/>
        <v>次</v>
      </c>
      <c r="K220" t="str">
        <f>"XWZSETJS"</f>
        <v>XWZSETJS</v>
      </c>
      <c r="L220" t="str">
        <f>"PWITQULN"</f>
        <v>PWITQULN</v>
      </c>
      <c r="M220">
        <v>10</v>
      </c>
      <c r="O220" t="str">
        <f t="shared" si="52"/>
        <v>每个 穴位</v>
      </c>
      <c r="P220" t="str">
        <f t="shared" si="49"/>
        <v>治疗费</v>
      </c>
    </row>
    <row r="221" spans="1:16">
      <c r="A221" t="str">
        <f>"耳穴疗法"</f>
        <v>耳穴疗法</v>
      </c>
      <c r="B221" t="str">
        <f>"014200000100000"</f>
        <v>014200000100000</v>
      </c>
      <c r="C221" t="str">
        <f t="shared" si="46"/>
        <v>治疗</v>
      </c>
      <c r="G221">
        <v>24</v>
      </c>
      <c r="I221" t="str">
        <f t="shared" si="47"/>
        <v>次</v>
      </c>
      <c r="K221" t="str">
        <f>"EXLF"</f>
        <v>EXLF</v>
      </c>
      <c r="L221" t="str">
        <f>"BPUI"</f>
        <v>BPUI</v>
      </c>
      <c r="M221">
        <v>24</v>
      </c>
      <c r="O221" t="str">
        <f>"单侧"</f>
        <v>单侧</v>
      </c>
      <c r="P221" t="str">
        <f t="shared" si="49"/>
        <v>治疗费</v>
      </c>
    </row>
    <row r="222" spans="1:16">
      <c r="A222" t="str">
        <f>"耳穴疗法-儿童（加收）"</f>
        <v>耳穴疗法-儿童（加收）</v>
      </c>
      <c r="B222" t="str">
        <f>"014200000100001"</f>
        <v>014200000100001</v>
      </c>
      <c r="C222" t="str">
        <f t="shared" si="46"/>
        <v>治疗</v>
      </c>
      <c r="G222">
        <v>7.2</v>
      </c>
      <c r="I222" t="str">
        <f t="shared" si="47"/>
        <v>次</v>
      </c>
      <c r="K222" t="str">
        <f>"EXLFETJS"</f>
        <v>EXLFETJS</v>
      </c>
      <c r="L222" t="str">
        <f>"BPUIQULN"</f>
        <v>BPUIQULN</v>
      </c>
      <c r="M222">
        <v>24</v>
      </c>
      <c r="O222" t="str">
        <f>"单侧"</f>
        <v>单侧</v>
      </c>
      <c r="P222" t="str">
        <f t="shared" si="49"/>
        <v>治疗费</v>
      </c>
    </row>
    <row r="223" spans="1:16">
      <c r="A223" t="str">
        <f>"手法整复术（关节脱位）"</f>
        <v>手法整复术（关节脱位）</v>
      </c>
      <c r="B223" t="str">
        <f>"014300000010000"</f>
        <v>014300000010000</v>
      </c>
      <c r="C223" t="str">
        <f t="shared" si="46"/>
        <v>治疗</v>
      </c>
      <c r="G223">
        <v>125</v>
      </c>
      <c r="I223" t="str">
        <f t="shared" si="47"/>
        <v>次</v>
      </c>
      <c r="K223" t="str">
        <f>"SFZFSGJTW"</f>
        <v>SFZFSGJTW</v>
      </c>
      <c r="L223" t="str">
        <f>"RIGTSUAEW"</f>
        <v>RIGTSUAEW</v>
      </c>
      <c r="M223">
        <v>140</v>
      </c>
      <c r="O223" t="str">
        <f t="shared" ref="O223:O226" si="53">"每 关节"</f>
        <v>每 关节</v>
      </c>
      <c r="P223" t="str">
        <f t="shared" si="49"/>
        <v>治疗费</v>
      </c>
    </row>
    <row r="224" spans="1:16">
      <c r="A224" t="str">
        <f>"手法整复术（关节脱位）-儿童（加收）"</f>
        <v>手法整复术（关节脱位）-儿童（加收）</v>
      </c>
      <c r="B224" t="str">
        <f>"014300000010001"</f>
        <v>014300000010001</v>
      </c>
      <c r="C224" t="str">
        <f t="shared" si="46"/>
        <v>治疗</v>
      </c>
      <c r="G224">
        <v>37.5</v>
      </c>
      <c r="I224" t="str">
        <f t="shared" si="47"/>
        <v>次</v>
      </c>
      <c r="K224" t="str">
        <f>"SFZFSGJTWETJS"</f>
        <v>SFZFSGJTWETJS</v>
      </c>
      <c r="L224" t="str">
        <f>"RIGTSUAEWQULN"</f>
        <v>RIGTSUAEWQULN</v>
      </c>
      <c r="M224">
        <v>140</v>
      </c>
      <c r="O224" t="str">
        <f t="shared" si="53"/>
        <v>每 关节</v>
      </c>
      <c r="P224" t="str">
        <f t="shared" si="49"/>
        <v>治疗费</v>
      </c>
    </row>
    <row r="225" spans="1:16">
      <c r="A225" t="str">
        <f>"手法整复术（复杂关节脱位）"</f>
        <v>手法整复术（复杂关节脱位）</v>
      </c>
      <c r="B225" t="str">
        <f>"014300000020000"</f>
        <v>014300000020000</v>
      </c>
      <c r="C225" t="str">
        <f t="shared" si="46"/>
        <v>治疗</v>
      </c>
      <c r="G225">
        <v>360</v>
      </c>
      <c r="I225" t="str">
        <f t="shared" si="47"/>
        <v>次</v>
      </c>
      <c r="K225" t="str">
        <f>"SFZFSFZGJTW"</f>
        <v>SFZFSFZGJTW</v>
      </c>
      <c r="L225" t="str">
        <f>"RIGTSTVUAEW"</f>
        <v>RIGTSTVUAEW</v>
      </c>
      <c r="M225">
        <v>360</v>
      </c>
      <c r="O225" t="str">
        <f t="shared" si="53"/>
        <v>每 关节</v>
      </c>
      <c r="P225" t="str">
        <f t="shared" si="49"/>
        <v>治疗费</v>
      </c>
    </row>
    <row r="226" spans="1:16">
      <c r="A226" t="str">
        <f>"手法整复术（复杂关节脱位）-儿童（加收）"</f>
        <v>手法整复术（复杂关节脱位）-儿童（加收）</v>
      </c>
      <c r="B226" t="str">
        <f>"014300000020001"</f>
        <v>014300000020001</v>
      </c>
      <c r="C226" t="str">
        <f t="shared" si="46"/>
        <v>治疗</v>
      </c>
      <c r="G226">
        <v>70.5</v>
      </c>
      <c r="I226" t="str">
        <f t="shared" si="47"/>
        <v>次</v>
      </c>
      <c r="K226" t="str">
        <f>"SFZFSFZGJTWETJS"</f>
        <v>SFZFSFZGJTWETJS</v>
      </c>
      <c r="L226" t="str">
        <f>"RIGTSTVUAEWQULN"</f>
        <v>RIGTSTVUAEWQULN</v>
      </c>
      <c r="M226">
        <v>260</v>
      </c>
      <c r="O226" t="str">
        <f t="shared" si="53"/>
        <v>每 关节</v>
      </c>
      <c r="P226" t="str">
        <f t="shared" si="49"/>
        <v>治疗费</v>
      </c>
    </row>
    <row r="227" spans="1:16">
      <c r="A227" t="str">
        <f>"手法整复术（骨伤）"</f>
        <v>手法整复术（骨伤）</v>
      </c>
      <c r="B227" t="str">
        <f>"014300000030000"</f>
        <v>014300000030000</v>
      </c>
      <c r="C227" t="str">
        <f t="shared" si="46"/>
        <v>治疗</v>
      </c>
      <c r="G227">
        <v>180</v>
      </c>
      <c r="I227" t="str">
        <f t="shared" si="47"/>
        <v>次</v>
      </c>
      <c r="K227" t="str">
        <f>"SFZFSGS"</f>
        <v>SFZFSGS</v>
      </c>
      <c r="L227" t="str">
        <f>"RIGTSMW"</f>
        <v>RIGTSMW</v>
      </c>
      <c r="M227">
        <v>200</v>
      </c>
      <c r="O227" t="str">
        <f t="shared" ref="O227:O230" si="54">"每部位"</f>
        <v>每部位</v>
      </c>
      <c r="P227" t="str">
        <f t="shared" si="49"/>
        <v>治疗费</v>
      </c>
    </row>
    <row r="228" spans="1:16">
      <c r="A228" t="str">
        <f>"手法整复术（骨伤）-儿童（加收）"</f>
        <v>手法整复术（骨伤）-儿童（加收）</v>
      </c>
      <c r="B228" t="str">
        <f>"014300000030001"</f>
        <v>014300000030001</v>
      </c>
      <c r="C228" t="str">
        <f t="shared" si="46"/>
        <v>治疗</v>
      </c>
      <c r="G228">
        <v>54</v>
      </c>
      <c r="I228" t="str">
        <f t="shared" si="47"/>
        <v>次</v>
      </c>
      <c r="K228" t="str">
        <f>"SFZFSGSETJS"</f>
        <v>SFZFSGSETJS</v>
      </c>
      <c r="L228" t="str">
        <f>"RIGTSMWQULN"</f>
        <v>RIGTSMWQULN</v>
      </c>
      <c r="M228">
        <v>200</v>
      </c>
      <c r="O228" t="str">
        <f t="shared" si="54"/>
        <v>每部位</v>
      </c>
      <c r="P228" t="str">
        <f t="shared" si="49"/>
        <v>治疗费</v>
      </c>
    </row>
    <row r="229" spans="1:16">
      <c r="A229" t="str">
        <f>"手法整复术（复杂骨伤）"</f>
        <v>手法整复术（复杂骨伤）</v>
      </c>
      <c r="B229" t="str">
        <f>"014300000040000"</f>
        <v>014300000040000</v>
      </c>
      <c r="C229" t="str">
        <f t="shared" si="46"/>
        <v>治疗</v>
      </c>
      <c r="G229">
        <v>405</v>
      </c>
      <c r="I229" t="str">
        <f t="shared" si="47"/>
        <v>次</v>
      </c>
      <c r="K229" t="str">
        <f>"SFZFSFZGS"</f>
        <v>SFZFSFZGS</v>
      </c>
      <c r="L229" t="str">
        <f>"RIGTSTVMW"</f>
        <v>RIGTSTVMW</v>
      </c>
      <c r="M229">
        <v>450</v>
      </c>
      <c r="O229" t="str">
        <f t="shared" si="54"/>
        <v>每部位</v>
      </c>
      <c r="P229" t="str">
        <f t="shared" si="49"/>
        <v>治疗费</v>
      </c>
    </row>
    <row r="230" spans="1:16">
      <c r="A230" t="str">
        <f>"手法整复术（复杂骨伤）-儿童（加收）"</f>
        <v>手法整复术（复杂骨伤）-儿童（加收）</v>
      </c>
      <c r="B230" t="str">
        <f>"014300000040001"</f>
        <v>014300000040001</v>
      </c>
      <c r="C230" t="str">
        <f t="shared" si="46"/>
        <v>治疗</v>
      </c>
      <c r="G230">
        <v>121.5</v>
      </c>
      <c r="I230" t="str">
        <f t="shared" si="47"/>
        <v>次</v>
      </c>
      <c r="K230" t="str">
        <f>"SFZFSFZGSETJS"</f>
        <v>SFZFSFZGSETJS</v>
      </c>
      <c r="L230" t="str">
        <f>"RIGTSTVMWQULN"</f>
        <v>RIGTSTVMWQULN</v>
      </c>
      <c r="M230">
        <v>450</v>
      </c>
      <c r="O230" t="str">
        <f t="shared" si="54"/>
        <v>每部位</v>
      </c>
      <c r="P230" t="str">
        <f t="shared" si="49"/>
        <v>治疗费</v>
      </c>
    </row>
    <row r="231" spans="1:16">
      <c r="A231" t="str">
        <f>"手法松解术"</f>
        <v>手法松解术</v>
      </c>
      <c r="B231" t="str">
        <f>"014300000080000"</f>
        <v>014300000080000</v>
      </c>
      <c r="C231" t="str">
        <f t="shared" si="46"/>
        <v>治疗</v>
      </c>
      <c r="G231">
        <v>123</v>
      </c>
      <c r="I231" t="str">
        <f t="shared" si="47"/>
        <v>次</v>
      </c>
      <c r="K231" t="str">
        <f>"SFSJS"</f>
        <v>SFSJS</v>
      </c>
      <c r="L231" t="str">
        <f>"RISQS"</f>
        <v>RISQS</v>
      </c>
      <c r="M231">
        <v>123</v>
      </c>
      <c r="O231" t="str">
        <f t="shared" ref="O231:O243" si="55">"次"</f>
        <v>次</v>
      </c>
      <c r="P231" t="str">
        <f t="shared" si="49"/>
        <v>治疗费</v>
      </c>
    </row>
    <row r="232" spans="1:16">
      <c r="A232" t="str">
        <f>"悬空灸"</f>
        <v>悬空灸</v>
      </c>
      <c r="B232" t="str">
        <f>"014400000010000"</f>
        <v>014400000010000</v>
      </c>
      <c r="C232" t="str">
        <f t="shared" si="46"/>
        <v>治疗</v>
      </c>
      <c r="G232">
        <v>46</v>
      </c>
      <c r="I232" t="str">
        <f t="shared" si="47"/>
        <v>次</v>
      </c>
      <c r="K232" t="str">
        <f>"XKJ"</f>
        <v>XKJ</v>
      </c>
      <c r="L232" t="str">
        <f>"EPQ"</f>
        <v>EPQ</v>
      </c>
      <c r="M232">
        <v>46</v>
      </c>
      <c r="N232" t="str">
        <f>"014400000010000"</f>
        <v>014400000010000</v>
      </c>
      <c r="O232" t="str">
        <f t="shared" si="55"/>
        <v>次</v>
      </c>
      <c r="P232" t="str">
        <f t="shared" si="49"/>
        <v>治疗费</v>
      </c>
    </row>
    <row r="233" spans="1:16">
      <c r="A233" t="str">
        <f>"悬空灸-雷火灸（太乙神针）（扩展）"</f>
        <v>悬空灸-雷火灸（太乙神针）（扩展）</v>
      </c>
      <c r="B233" t="str">
        <f>"014400000010100"</f>
        <v>014400000010100</v>
      </c>
      <c r="C233" t="str">
        <f t="shared" si="46"/>
        <v>治疗</v>
      </c>
      <c r="G233">
        <v>46</v>
      </c>
      <c r="I233" t="str">
        <f t="shared" si="47"/>
        <v>次</v>
      </c>
      <c r="K233" t="str">
        <f>"XKJLHJTYSZKZ"</f>
        <v>XKJLHJTYSZKZ</v>
      </c>
      <c r="L233" t="str">
        <f>"EPQFOQDNPQRN"</f>
        <v>EPQFOQDNPQRN</v>
      </c>
      <c r="M233">
        <v>46</v>
      </c>
      <c r="N233" t="str">
        <f>"014400000010100"</f>
        <v>014400000010100</v>
      </c>
      <c r="O233" t="str">
        <f t="shared" si="55"/>
        <v>次</v>
      </c>
      <c r="P233" t="str">
        <f t="shared" si="49"/>
        <v>治疗费</v>
      </c>
    </row>
    <row r="234" spans="1:16">
      <c r="A234" t="str">
        <f>"直接灸"</f>
        <v>直接灸</v>
      </c>
      <c r="B234" t="str">
        <f>"014400000020000"</f>
        <v>014400000020000</v>
      </c>
      <c r="C234" t="str">
        <f t="shared" si="46"/>
        <v>治疗</v>
      </c>
      <c r="G234">
        <v>19</v>
      </c>
      <c r="I234" t="str">
        <f t="shared" si="47"/>
        <v>次</v>
      </c>
      <c r="K234" t="str">
        <f>"ZJJ"</f>
        <v>ZJJ</v>
      </c>
      <c r="L234" t="str">
        <f>"FRQ"</f>
        <v>FRQ</v>
      </c>
      <c r="M234">
        <v>19</v>
      </c>
      <c r="N234" t="str">
        <f>"014400000020000"</f>
        <v>014400000020000</v>
      </c>
      <c r="O234" t="str">
        <f t="shared" si="55"/>
        <v>次</v>
      </c>
      <c r="P234" t="str">
        <f t="shared" si="49"/>
        <v>治疗费</v>
      </c>
    </row>
    <row r="235" spans="1:16">
      <c r="A235" t="str">
        <f>"隔物灸"</f>
        <v>隔物灸</v>
      </c>
      <c r="B235" t="str">
        <f>"014400000030000"</f>
        <v>014400000030000</v>
      </c>
      <c r="C235" t="str">
        <f t="shared" si="46"/>
        <v>治疗</v>
      </c>
      <c r="G235">
        <v>24</v>
      </c>
      <c r="I235" t="str">
        <f t="shared" si="47"/>
        <v>次</v>
      </c>
      <c r="K235" t="str">
        <f>"GWJ"</f>
        <v>GWJ</v>
      </c>
      <c r="L235" t="str">
        <f>"BTQ"</f>
        <v>BTQ</v>
      </c>
      <c r="M235">
        <v>24</v>
      </c>
      <c r="N235" t="str">
        <f>"014400000030000"</f>
        <v>014400000030000</v>
      </c>
      <c r="O235" t="str">
        <f t="shared" si="55"/>
        <v>次</v>
      </c>
      <c r="P235" t="str">
        <f t="shared" si="49"/>
        <v>治疗费</v>
      </c>
    </row>
    <row r="236" spans="1:16">
      <c r="A236" t="str">
        <f>"铺灸"</f>
        <v>铺灸</v>
      </c>
      <c r="B236" t="str">
        <f>"014400000040000"</f>
        <v>014400000040000</v>
      </c>
      <c r="C236" t="str">
        <f t="shared" si="46"/>
        <v>治疗</v>
      </c>
      <c r="G236">
        <v>120</v>
      </c>
      <c r="I236" t="str">
        <f t="shared" si="47"/>
        <v>次</v>
      </c>
      <c r="K236" t="str">
        <f>"PJ"</f>
        <v>PJ</v>
      </c>
      <c r="L236" t="str">
        <f>"QQ"</f>
        <v>QQ</v>
      </c>
      <c r="M236">
        <v>120</v>
      </c>
      <c r="N236" t="str">
        <f>"014400000040000"</f>
        <v>014400000040000</v>
      </c>
      <c r="O236" t="str">
        <f t="shared" si="55"/>
        <v>次</v>
      </c>
      <c r="P236" t="str">
        <f t="shared" si="49"/>
        <v>治疗费</v>
      </c>
    </row>
    <row r="237" spans="1:16">
      <c r="A237" t="str">
        <f>"铺灸-（督灸（火龙灸））加收"</f>
        <v>铺灸-（督灸（火龙灸））加收</v>
      </c>
      <c r="B237" t="str">
        <f>"014400000040002"</f>
        <v>014400000040002</v>
      </c>
      <c r="C237" t="str">
        <f t="shared" si="46"/>
        <v>治疗</v>
      </c>
      <c r="G237">
        <v>24</v>
      </c>
      <c r="I237" t="str">
        <f t="shared" si="47"/>
        <v>次</v>
      </c>
      <c r="K237" t="str">
        <f>"PJDJHLJJS"</f>
        <v>PJDJHLJJS</v>
      </c>
      <c r="L237" t="str">
        <f>"QQHQODQLN"</f>
        <v>QQHQODQLN</v>
      </c>
      <c r="M237">
        <v>24</v>
      </c>
      <c r="N237" t="str">
        <f>"014400000040002"</f>
        <v>014400000040002</v>
      </c>
      <c r="O237" t="str">
        <f t="shared" si="55"/>
        <v>次</v>
      </c>
      <c r="P237" t="str">
        <f t="shared" si="49"/>
        <v>治疗费</v>
      </c>
    </row>
    <row r="238" spans="1:16">
      <c r="A238" t="str">
        <f>"中医拔罐"</f>
        <v>中医拔罐</v>
      </c>
      <c r="B238" t="str">
        <f>"014400000050000"</f>
        <v>014400000050000</v>
      </c>
      <c r="C238" t="str">
        <f t="shared" si="46"/>
        <v>治疗</v>
      </c>
      <c r="G238">
        <v>42</v>
      </c>
      <c r="I238" t="str">
        <f t="shared" si="47"/>
        <v>次</v>
      </c>
      <c r="K238" t="str">
        <f>"ZYBG"</f>
        <v>ZYBG</v>
      </c>
      <c r="L238" t="str">
        <f>"KARR"</f>
        <v>KARR</v>
      </c>
      <c r="M238">
        <v>42</v>
      </c>
      <c r="N238" t="str">
        <f>"014400000050000"</f>
        <v>014400000050000</v>
      </c>
      <c r="O238" t="str">
        <f t="shared" si="55"/>
        <v>次</v>
      </c>
      <c r="P238" t="str">
        <f t="shared" si="49"/>
        <v>治疗费</v>
      </c>
    </row>
    <row r="239" spans="1:16">
      <c r="A239" t="str">
        <f>"中医走罐"</f>
        <v>中医走罐</v>
      </c>
      <c r="B239" t="str">
        <f>"014400000060000"</f>
        <v>014400000060000</v>
      </c>
      <c r="C239" t="str">
        <f t="shared" si="46"/>
        <v>治疗</v>
      </c>
      <c r="G239">
        <v>30</v>
      </c>
      <c r="I239" t="str">
        <f t="shared" si="47"/>
        <v>次</v>
      </c>
      <c r="K239" t="str">
        <f>"ZYZG"</f>
        <v>ZYZG</v>
      </c>
      <c r="L239" t="str">
        <f>"KAFR"</f>
        <v>KAFR</v>
      </c>
      <c r="M239">
        <v>30</v>
      </c>
      <c r="N239" t="str">
        <f>"014400000060000"</f>
        <v>014400000060000</v>
      </c>
      <c r="O239" t="str">
        <f t="shared" si="55"/>
        <v>次</v>
      </c>
      <c r="P239" t="str">
        <f t="shared" si="49"/>
        <v>治疗费</v>
      </c>
    </row>
    <row r="240" spans="1:16">
      <c r="A240" t="str">
        <f>"中医闪罐"</f>
        <v>中医闪罐</v>
      </c>
      <c r="B240" t="str">
        <f>"014400000070000"</f>
        <v>014400000070000</v>
      </c>
      <c r="C240" t="str">
        <f t="shared" si="46"/>
        <v>治疗</v>
      </c>
      <c r="G240">
        <v>63</v>
      </c>
      <c r="I240" t="str">
        <f t="shared" si="47"/>
        <v>次</v>
      </c>
      <c r="K240" t="str">
        <f>"ZYSG"</f>
        <v>ZYSG</v>
      </c>
      <c r="L240" t="str">
        <f>"KAUR"</f>
        <v>KAUR</v>
      </c>
      <c r="M240">
        <v>63</v>
      </c>
      <c r="N240" t="str">
        <f>"014400000070000"</f>
        <v>014400000070000</v>
      </c>
      <c r="O240" t="str">
        <f t="shared" si="55"/>
        <v>次</v>
      </c>
      <c r="P240" t="str">
        <f t="shared" si="49"/>
        <v>治疗费</v>
      </c>
    </row>
    <row r="241" spans="1:16">
      <c r="A241" t="str">
        <f>"头面部疾病推拿"</f>
        <v>头面部疾病推拿</v>
      </c>
      <c r="B241" t="str">
        <f>"014500000010000"</f>
        <v>014500000010000</v>
      </c>
      <c r="C241" t="str">
        <f t="shared" si="46"/>
        <v>治疗</v>
      </c>
      <c r="G241">
        <v>55</v>
      </c>
      <c r="I241" t="str">
        <f t="shared" si="47"/>
        <v>次</v>
      </c>
      <c r="K241" t="str">
        <f>"TMBJBTN"</f>
        <v>TMBJBTN</v>
      </c>
      <c r="L241" t="str">
        <f>"UDUUURW"</f>
        <v>UDUUURW</v>
      </c>
      <c r="M241">
        <v>55</v>
      </c>
      <c r="N241" t="str">
        <f>"014500000010000"</f>
        <v>014500000010000</v>
      </c>
      <c r="O241" t="str">
        <f t="shared" si="55"/>
        <v>次</v>
      </c>
      <c r="P241" t="str">
        <f t="shared" si="49"/>
        <v>治疗费</v>
      </c>
    </row>
    <row r="242" spans="1:16">
      <c r="A242" t="str">
        <f>"颈部疾病推拿"</f>
        <v>颈部疾病推拿</v>
      </c>
      <c r="B242" t="str">
        <f>"014500000020000"</f>
        <v>014500000020000</v>
      </c>
      <c r="C242" t="str">
        <f t="shared" si="46"/>
        <v>治疗</v>
      </c>
      <c r="G242">
        <v>54</v>
      </c>
      <c r="I242" t="str">
        <f t="shared" si="47"/>
        <v>次</v>
      </c>
      <c r="K242" t="str">
        <f>"JBJBTN"</f>
        <v>JBJBTN</v>
      </c>
      <c r="L242" t="str">
        <f>"CUUURW"</f>
        <v>CUUURW</v>
      </c>
      <c r="M242">
        <v>54</v>
      </c>
      <c r="N242" t="str">
        <f>"014500000020000"</f>
        <v>014500000020000</v>
      </c>
      <c r="O242" t="str">
        <f t="shared" si="55"/>
        <v>次</v>
      </c>
      <c r="P242" t="str">
        <f t="shared" si="49"/>
        <v>治疗费</v>
      </c>
    </row>
    <row r="243" spans="1:16">
      <c r="A243" t="str">
        <f>"脊柱部位疾病推拿"</f>
        <v>脊柱部位疾病推拿</v>
      </c>
      <c r="B243" t="str">
        <f>"014500000030000"</f>
        <v>014500000030000</v>
      </c>
      <c r="C243" t="str">
        <f t="shared" si="46"/>
        <v>治疗</v>
      </c>
      <c r="G243">
        <v>42</v>
      </c>
      <c r="I243" t="str">
        <f t="shared" si="47"/>
        <v>次</v>
      </c>
      <c r="K243" t="str">
        <f>"JZBWJBTN"</f>
        <v>JZBWJBTN</v>
      </c>
      <c r="L243" t="str">
        <f>"ISUWUURW"</f>
        <v>ISUWUURW</v>
      </c>
      <c r="M243">
        <v>42</v>
      </c>
      <c r="N243" t="str">
        <f>"014500000030000"</f>
        <v>014500000030000</v>
      </c>
      <c r="O243" t="str">
        <f t="shared" si="55"/>
        <v>次</v>
      </c>
      <c r="P243" t="str">
        <f t="shared" si="49"/>
        <v>治疗费</v>
      </c>
    </row>
    <row r="244" spans="1:16">
      <c r="A244" t="str">
        <f>"肩部疾病推拿"</f>
        <v>肩部疾病推拿</v>
      </c>
      <c r="B244" t="str">
        <f>"014500000040000"</f>
        <v>014500000040000</v>
      </c>
      <c r="C244" t="str">
        <f t="shared" si="46"/>
        <v>治疗</v>
      </c>
      <c r="G244">
        <v>42</v>
      </c>
      <c r="I244" t="str">
        <f t="shared" si="47"/>
        <v>次</v>
      </c>
      <c r="K244" t="str">
        <f>"JBJBTN"</f>
        <v>JBJBTN</v>
      </c>
      <c r="L244" t="str">
        <f>"YUUURW"</f>
        <v>YUUURW</v>
      </c>
      <c r="M244">
        <v>42</v>
      </c>
      <c r="N244" t="str">
        <f>"014500000040000"</f>
        <v>014500000040000</v>
      </c>
      <c r="O244" t="str">
        <f>"单侧"</f>
        <v>单侧</v>
      </c>
      <c r="P244" t="str">
        <f t="shared" si="49"/>
        <v>治疗费</v>
      </c>
    </row>
    <row r="245" spans="1:16">
      <c r="A245" t="str">
        <f>"背部疾病推拿"</f>
        <v>背部疾病推拿</v>
      </c>
      <c r="B245" t="str">
        <f>"014500000050000"</f>
        <v>014500000050000</v>
      </c>
      <c r="C245" t="str">
        <f t="shared" si="46"/>
        <v>治疗</v>
      </c>
      <c r="G245">
        <v>81</v>
      </c>
      <c r="I245" t="str">
        <f t="shared" si="47"/>
        <v>次</v>
      </c>
      <c r="K245" t="str">
        <f>"BBJBTN"</f>
        <v>BBJBTN</v>
      </c>
      <c r="L245" t="str">
        <f>"UUUURW"</f>
        <v>UUUURW</v>
      </c>
      <c r="M245">
        <v>81</v>
      </c>
      <c r="N245" t="str">
        <f>"014500000050000"</f>
        <v>014500000050000</v>
      </c>
      <c r="O245" t="str">
        <f t="shared" ref="O245:O247" si="56">"次"</f>
        <v>次</v>
      </c>
      <c r="P245" t="str">
        <f t="shared" si="49"/>
        <v>治疗费</v>
      </c>
    </row>
    <row r="246" spans="1:16">
      <c r="A246" t="str">
        <f>"腰部疾病推拿"</f>
        <v>腰部疾病推拿</v>
      </c>
      <c r="B246" t="str">
        <f>"014500000060000"</f>
        <v>014500000060000</v>
      </c>
      <c r="C246" t="str">
        <f t="shared" si="46"/>
        <v>治疗</v>
      </c>
      <c r="G246">
        <v>81</v>
      </c>
      <c r="I246" t="str">
        <f t="shared" si="47"/>
        <v>次</v>
      </c>
      <c r="K246" t="str">
        <f>"YBJBTN"</f>
        <v>YBJBTN</v>
      </c>
      <c r="L246" t="str">
        <f>"EUUURW"</f>
        <v>EUUURW</v>
      </c>
      <c r="M246">
        <v>81</v>
      </c>
      <c r="N246" t="str">
        <f>"014500000060000"</f>
        <v>014500000060000</v>
      </c>
      <c r="O246" t="str">
        <f t="shared" si="56"/>
        <v>次</v>
      </c>
      <c r="P246" t="str">
        <f t="shared" si="49"/>
        <v>治疗费</v>
      </c>
    </row>
    <row r="247" spans="1:16">
      <c r="A247" t="str">
        <f>"髋骶部疾病推拿"</f>
        <v>髋骶部疾病推拿</v>
      </c>
      <c r="B247" t="str">
        <f>"014500000070000"</f>
        <v>014500000070000</v>
      </c>
      <c r="C247" t="str">
        <f t="shared" si="46"/>
        <v>治疗</v>
      </c>
      <c r="G247">
        <v>81</v>
      </c>
      <c r="I247" t="str">
        <f t="shared" si="47"/>
        <v>次</v>
      </c>
      <c r="K247" t="str">
        <f>"BJBTN"</f>
        <v>BJBTN</v>
      </c>
      <c r="L247" t="str">
        <f>"MMUUURW"</f>
        <v>MMUUURW</v>
      </c>
      <c r="M247">
        <v>81</v>
      </c>
      <c r="N247" t="str">
        <f>"014500000060000"</f>
        <v>014500000060000</v>
      </c>
      <c r="O247" t="str">
        <f t="shared" si="56"/>
        <v>次</v>
      </c>
      <c r="P247" t="str">
        <f t="shared" si="49"/>
        <v>治疗费</v>
      </c>
    </row>
    <row r="248" spans="1:16">
      <c r="A248" t="str">
        <f>"四肢部位疾病推拿"</f>
        <v>四肢部位疾病推拿</v>
      </c>
      <c r="B248" t="str">
        <f>"014500000080000"</f>
        <v>014500000080000</v>
      </c>
      <c r="C248" t="str">
        <f t="shared" si="46"/>
        <v>治疗</v>
      </c>
      <c r="G248">
        <v>42</v>
      </c>
      <c r="I248" t="str">
        <f t="shared" si="47"/>
        <v>次</v>
      </c>
      <c r="K248" t="str">
        <f>"SZBWJBTN"</f>
        <v>SZBWJBTN</v>
      </c>
      <c r="L248" t="str">
        <f>"LEUWUURW"</f>
        <v>LEUWUURW</v>
      </c>
      <c r="M248">
        <v>42</v>
      </c>
      <c r="N248" t="str">
        <f>"014500000080000"</f>
        <v>014500000080000</v>
      </c>
      <c r="O248" t="str">
        <f>"单肢"</f>
        <v>单肢</v>
      </c>
      <c r="P248" t="str">
        <f t="shared" si="49"/>
        <v>治疗费</v>
      </c>
    </row>
    <row r="249" spans="1:16">
      <c r="A249" t="str">
        <f>"针刀（钩活）疗法"</f>
        <v>针刀（钩活）疗法</v>
      </c>
      <c r="B249" t="str">
        <f>"014600000010000"</f>
        <v>014600000010000</v>
      </c>
      <c r="C249" t="str">
        <f t="shared" si="46"/>
        <v>治疗</v>
      </c>
      <c r="G249">
        <v>90</v>
      </c>
      <c r="I249" t="str">
        <f t="shared" si="47"/>
        <v>次</v>
      </c>
      <c r="K249" t="str">
        <f>"ZDGHLF"</f>
        <v>ZDGHLF</v>
      </c>
      <c r="L249" t="str">
        <f>"QVQIUI"</f>
        <v>QVQIUI</v>
      </c>
      <c r="M249">
        <v>94</v>
      </c>
      <c r="O249" t="str">
        <f>"部位"</f>
        <v>部位</v>
      </c>
      <c r="P249" t="str">
        <f t="shared" si="49"/>
        <v>治疗费</v>
      </c>
    </row>
    <row r="250" spans="1:16">
      <c r="A250" t="str">
        <f>"针刀（钩活）疗法-脊柱针刀疗法（加收）"</f>
        <v>针刀（钩活）疗法-脊柱针刀疗法（加收）</v>
      </c>
      <c r="B250" t="str">
        <f>"014600000010001"</f>
        <v>014600000010001</v>
      </c>
      <c r="C250" t="str">
        <f t="shared" si="46"/>
        <v>治疗</v>
      </c>
      <c r="G250">
        <v>45</v>
      </c>
      <c r="I250" t="str">
        <f t="shared" si="47"/>
        <v>次</v>
      </c>
      <c r="K250" t="str">
        <f>"ZDGHLFJZZDLFJS"</f>
        <v>ZDGHLFJZZDLFJS</v>
      </c>
      <c r="L250" t="str">
        <f>"QVQIUIISQVUILN"</f>
        <v>QVQIUIISQVUILN</v>
      </c>
      <c r="M250">
        <v>94</v>
      </c>
      <c r="O250" t="str">
        <f>"部位"</f>
        <v>部位</v>
      </c>
      <c r="P250" t="str">
        <f t="shared" si="49"/>
        <v>治疗费</v>
      </c>
    </row>
    <row r="251" spans="1:16">
      <c r="A251" t="str">
        <f>"点穴疗法"</f>
        <v>点穴疗法</v>
      </c>
      <c r="B251" t="str">
        <f>"014600000020000"</f>
        <v>014600000020000</v>
      </c>
      <c r="C251" t="str">
        <f t="shared" si="46"/>
        <v>治疗</v>
      </c>
      <c r="G251">
        <v>22</v>
      </c>
      <c r="I251" t="str">
        <f t="shared" si="47"/>
        <v>次</v>
      </c>
      <c r="K251" t="str">
        <f>"DXLF"</f>
        <v>DXLF</v>
      </c>
      <c r="L251" t="str">
        <f>"HPUI"</f>
        <v>HPUI</v>
      </c>
      <c r="M251">
        <v>22</v>
      </c>
      <c r="O251" t="str">
        <f>"次"</f>
        <v>次</v>
      </c>
      <c r="P251" t="str">
        <f t="shared" si="49"/>
        <v>治疗费</v>
      </c>
    </row>
    <row r="252" spans="1:16">
      <c r="A252" t="str">
        <f>"生理性海水鼻腔护理喷雾器"</f>
        <v>生理性海水鼻腔护理喷雾器</v>
      </c>
      <c r="B252" t="str">
        <f>"100000000-11-1"</f>
        <v>100000000-11-1</v>
      </c>
      <c r="C252" t="str">
        <f>"材料"</f>
        <v>材料</v>
      </c>
      <c r="G252">
        <v>52.99</v>
      </c>
      <c r="I252" t="str">
        <f>"B型"</f>
        <v>B型</v>
      </c>
      <c r="K252" t="str">
        <f>"SLXHSBQHLPWQ"</f>
        <v>SLXHSBQHLPWQ</v>
      </c>
      <c r="L252" t="str">
        <f>"TGNIITERGKFK"</f>
        <v>TGNIITERGKFK</v>
      </c>
      <c r="M252">
        <v>54</v>
      </c>
      <c r="O252" t="str">
        <f>"瓶"</f>
        <v>瓶</v>
      </c>
      <c r="P252" t="str">
        <f>"材料费"</f>
        <v>材料费</v>
      </c>
    </row>
    <row r="253" spans="1:16">
      <c r="A253" t="str">
        <f>"长效抗菌材料(洁悠神)"</f>
        <v>长效抗菌材料(洁悠神)</v>
      </c>
      <c r="B253" t="str">
        <f>"100000000-4-1"</f>
        <v>100000000-4-1</v>
      </c>
      <c r="C253" t="str">
        <f>"材料"</f>
        <v>材料</v>
      </c>
      <c r="D253" t="str">
        <f>"C17010221604000063930000003"</f>
        <v>C17010221604000063930000003</v>
      </c>
      <c r="G253">
        <v>44</v>
      </c>
      <c r="I253" t="str">
        <f>"20ml"</f>
        <v>20ml</v>
      </c>
      <c r="K253" t="str">
        <f>"CXKJCLJYS"</f>
        <v>CXKJCLJYS</v>
      </c>
      <c r="L253" t="str">
        <f>"TURASOIWP"</f>
        <v>TURASOIWP</v>
      </c>
      <c r="M253">
        <v>44</v>
      </c>
      <c r="N253" t="str">
        <f>"100000000-4"</f>
        <v>100000000-4</v>
      </c>
      <c r="O253" t="str">
        <f>"支"</f>
        <v>支</v>
      </c>
      <c r="P253" t="str">
        <f>"材料费"</f>
        <v>材料费</v>
      </c>
    </row>
    <row r="254" spans="1:16">
      <c r="A254" t="str">
        <f>"方便门诊费"</f>
        <v>方便门诊费</v>
      </c>
      <c r="B254">
        <v>110200008</v>
      </c>
      <c r="C254" t="str">
        <f t="shared" ref="C254:C264" si="57">"其他"</f>
        <v>其他</v>
      </c>
      <c r="D254" t="str">
        <f>"001102000010400"</f>
        <v>001102000010400</v>
      </c>
      <c r="G254">
        <v>1</v>
      </c>
      <c r="I254" t="str">
        <f t="shared" ref="I254:I257" si="58">"次"</f>
        <v>次</v>
      </c>
      <c r="K254" t="str">
        <f>"FBMZF"</f>
        <v>FBMZF</v>
      </c>
      <c r="L254" t="str">
        <f>"YWUYX"</f>
        <v>YWUYX</v>
      </c>
      <c r="M254">
        <v>1</v>
      </c>
      <c r="N254">
        <v>110200008</v>
      </c>
      <c r="O254" t="str">
        <f>"每次"</f>
        <v>每次</v>
      </c>
      <c r="P254" t="str">
        <f>"诊查费"</f>
        <v>诊查费</v>
      </c>
    </row>
    <row r="255" spans="1:16">
      <c r="A255" t="str">
        <f>"药学门诊诊察费"</f>
        <v>药学门诊诊察费</v>
      </c>
      <c r="B255">
        <v>110200009</v>
      </c>
      <c r="C255" t="str">
        <f t="shared" si="57"/>
        <v>其他</v>
      </c>
      <c r="G255">
        <v>10</v>
      </c>
      <c r="I255" t="str">
        <f t="shared" si="58"/>
        <v>次</v>
      </c>
      <c r="K255" t="str">
        <f>"YXMZZCF"</f>
        <v>YXMZZCF</v>
      </c>
      <c r="L255" t="str">
        <f>"AIUYYPX"</f>
        <v>AIUYYPX</v>
      </c>
      <c r="M255">
        <v>10</v>
      </c>
      <c r="O255" t="str">
        <f t="shared" ref="O255:O260" si="59">"次"</f>
        <v>次</v>
      </c>
      <c r="P255" t="str">
        <f>"诊查费"</f>
        <v>诊查费</v>
      </c>
    </row>
    <row r="256" spans="1:16">
      <c r="A256" t="str">
        <f>"急诊监护费"</f>
        <v>急诊监护费</v>
      </c>
      <c r="B256">
        <v>110300001</v>
      </c>
      <c r="C256" t="str">
        <f t="shared" si="57"/>
        <v>其他</v>
      </c>
      <c r="D256" t="str">
        <f>"001103000010000"</f>
        <v>001103000010000</v>
      </c>
      <c r="G256">
        <v>130</v>
      </c>
      <c r="I256" t="str">
        <f>"日"</f>
        <v>日</v>
      </c>
      <c r="K256" t="str">
        <f>"JZJHF"</f>
        <v>JZJHF</v>
      </c>
      <c r="L256" t="str">
        <f>"QYJRX"</f>
        <v>QYJRX</v>
      </c>
      <c r="M256">
        <v>130</v>
      </c>
      <c r="N256">
        <v>110300001</v>
      </c>
      <c r="O256" t="str">
        <f>"日"</f>
        <v>日</v>
      </c>
      <c r="P256" t="str">
        <f>"监护费"</f>
        <v>监护费</v>
      </c>
    </row>
    <row r="257" spans="1:16">
      <c r="A257" t="str">
        <f>"院前急救费"</f>
        <v>院前急救费</v>
      </c>
      <c r="B257">
        <v>110400001</v>
      </c>
      <c r="C257" t="str">
        <f t="shared" si="57"/>
        <v>其他</v>
      </c>
      <c r="D257" t="str">
        <f>"001104000010000"</f>
        <v>001104000010000</v>
      </c>
      <c r="G257">
        <v>46</v>
      </c>
      <c r="I257" t="str">
        <f t="shared" si="58"/>
        <v>次</v>
      </c>
      <c r="K257" t="str">
        <f>"YQJJF"</f>
        <v>YQJJF</v>
      </c>
      <c r="L257" t="str">
        <f>"BUQFX"</f>
        <v>BUQFX</v>
      </c>
      <c r="M257">
        <v>46</v>
      </c>
      <c r="N257">
        <v>110400001</v>
      </c>
      <c r="O257" t="str">
        <f t="shared" si="59"/>
        <v>次</v>
      </c>
      <c r="P257" t="str">
        <f>"治疗费"</f>
        <v>治疗费</v>
      </c>
    </row>
    <row r="258" spans="1:16">
      <c r="A258" t="str">
        <f>"体检费"</f>
        <v>体检费</v>
      </c>
      <c r="B258">
        <v>110500001</v>
      </c>
      <c r="C258" t="str">
        <f t="shared" si="57"/>
        <v>其他</v>
      </c>
      <c r="D258" t="str">
        <f>"001105000010000"</f>
        <v>001105000010000</v>
      </c>
      <c r="G258">
        <v>15</v>
      </c>
      <c r="I258" t="str">
        <f>"项"</f>
        <v>项</v>
      </c>
      <c r="K258" t="str">
        <f>"TJF"</f>
        <v>TJF</v>
      </c>
      <c r="L258" t="str">
        <f>"WSX"</f>
        <v>WSX</v>
      </c>
      <c r="M258">
        <v>15</v>
      </c>
      <c r="N258">
        <v>110500001</v>
      </c>
      <c r="O258" t="str">
        <f>"每次"</f>
        <v>每次</v>
      </c>
      <c r="P258" t="str">
        <f t="shared" ref="P258:P261" si="60">"体检费"</f>
        <v>体检费</v>
      </c>
    </row>
    <row r="259" spans="1:16">
      <c r="A259" t="str">
        <f>"体检"</f>
        <v>体检</v>
      </c>
      <c r="B259" t="str">
        <f>"110500001-1"</f>
        <v>110500001-1</v>
      </c>
      <c r="C259" t="str">
        <f t="shared" si="57"/>
        <v>其他</v>
      </c>
      <c r="G259">
        <v>20</v>
      </c>
      <c r="I259" t="str">
        <f t="shared" ref="I259:I264" si="61">"次"</f>
        <v>次</v>
      </c>
      <c r="K259" t="str">
        <f>"TJ"</f>
        <v>TJ</v>
      </c>
      <c r="L259" t="str">
        <f>"WS"</f>
        <v>WS</v>
      </c>
      <c r="M259">
        <v>300</v>
      </c>
      <c r="N259">
        <v>110500001</v>
      </c>
      <c r="O259" t="str">
        <f t="shared" si="59"/>
        <v>次</v>
      </c>
      <c r="P259" t="str">
        <f t="shared" si="60"/>
        <v>体检费</v>
      </c>
    </row>
    <row r="260" spans="1:16">
      <c r="A260" t="str">
        <f>"驾驶员体检"</f>
        <v>驾驶员体检</v>
      </c>
      <c r="B260" t="str">
        <f>"110500001-a"</f>
        <v>110500001-a</v>
      </c>
      <c r="C260" t="str">
        <f t="shared" si="57"/>
        <v>其他</v>
      </c>
      <c r="G260">
        <v>8</v>
      </c>
      <c r="I260" t="str">
        <f t="shared" si="61"/>
        <v>次</v>
      </c>
      <c r="K260" t="str">
        <f>"JSYTJ"</f>
        <v>JSYTJ</v>
      </c>
      <c r="L260" t="str">
        <f>"LCKWS"</f>
        <v>LCKWS</v>
      </c>
      <c r="M260">
        <v>8</v>
      </c>
      <c r="N260" t="str">
        <f>"110500001-a"</f>
        <v>110500001-a</v>
      </c>
      <c r="O260" t="str">
        <f t="shared" si="59"/>
        <v>次</v>
      </c>
      <c r="P260" t="str">
        <f t="shared" si="60"/>
        <v>体检费</v>
      </c>
    </row>
    <row r="261" spans="1:16">
      <c r="A261" t="str">
        <f>"体检费（相关行业从业人员体检）"</f>
        <v>体检费（相关行业从业人员体检）</v>
      </c>
      <c r="B261" t="str">
        <f>"110500001-d"</f>
        <v>110500001-d</v>
      </c>
      <c r="C261" t="str">
        <f t="shared" si="57"/>
        <v>其他</v>
      </c>
      <c r="G261">
        <v>70</v>
      </c>
      <c r="I261" t="str">
        <f>"人"</f>
        <v>人</v>
      </c>
      <c r="K261" t="str">
        <f>"TJFXGXYCYRYTJ"</f>
        <v>TJFXGXYCYRYTJ</v>
      </c>
      <c r="L261" t="str">
        <f>"WSXSUTOWOWKWS"</f>
        <v>WSXSUTOWOWKWS</v>
      </c>
      <c r="M261">
        <v>70</v>
      </c>
      <c r="N261" t="str">
        <f>"110500001-d"</f>
        <v>110500001-d</v>
      </c>
      <c r="O261" t="str">
        <f>"人"</f>
        <v>人</v>
      </c>
      <c r="P261" t="str">
        <f t="shared" si="60"/>
        <v>体检费</v>
      </c>
    </row>
    <row r="262" spans="1:16">
      <c r="A262" t="str">
        <f>"急诊观察床位费"</f>
        <v>急诊观察床位费</v>
      </c>
      <c r="B262">
        <v>110900005</v>
      </c>
      <c r="C262" t="str">
        <f t="shared" si="57"/>
        <v>其他</v>
      </c>
      <c r="D262" t="str">
        <f>"001109000050000"</f>
        <v>001109000050000</v>
      </c>
      <c r="G262">
        <v>15</v>
      </c>
      <c r="I262" t="str">
        <f>"日"</f>
        <v>日</v>
      </c>
      <c r="K262" t="str">
        <f>"JZGCCWF"</f>
        <v>JZGCCWF</v>
      </c>
      <c r="L262" t="str">
        <f>"QYCPYWX"</f>
        <v>QYCPYWX</v>
      </c>
      <c r="M262">
        <v>100</v>
      </c>
      <c r="O262" t="str">
        <f>"日"</f>
        <v>日</v>
      </c>
      <c r="P262" t="str">
        <f>"床位费"</f>
        <v>床位费</v>
      </c>
    </row>
    <row r="263" spans="1:16">
      <c r="A263" t="str">
        <f>"院际会诊费(本地)"</f>
        <v>院际会诊费(本地)</v>
      </c>
      <c r="B263" t="str">
        <f>"111000001-a"</f>
        <v>111000001-a</v>
      </c>
      <c r="C263" t="str">
        <f t="shared" si="57"/>
        <v>其他</v>
      </c>
      <c r="D263" t="str">
        <f>"001110000010100"</f>
        <v>001110000010100</v>
      </c>
      <c r="G263">
        <v>130</v>
      </c>
      <c r="I263" t="str">
        <f>"项"</f>
        <v>项</v>
      </c>
      <c r="K263" t="str">
        <f>"YJHZF(BD)"</f>
        <v>YJHZF(BD)</v>
      </c>
      <c r="L263" t="str">
        <f>"BBWYXSF"</f>
        <v>BBWYXSF</v>
      </c>
      <c r="M263">
        <v>130</v>
      </c>
      <c r="N263" t="str">
        <f>"111000001-a"</f>
        <v>111000001-a</v>
      </c>
      <c r="O263" t="str">
        <f t="shared" ref="O263:O267" si="62">"次"</f>
        <v>次</v>
      </c>
      <c r="P263" t="str">
        <f>"会诊费"</f>
        <v>会诊费</v>
      </c>
    </row>
    <row r="264" spans="1:16">
      <c r="A264" t="str">
        <f>"院际会诊-外埠"</f>
        <v>院际会诊-外埠</v>
      </c>
      <c r="B264" t="str">
        <f>"111000001-b"</f>
        <v>111000001-b</v>
      </c>
      <c r="C264" t="str">
        <f t="shared" si="57"/>
        <v>其他</v>
      </c>
      <c r="D264" t="str">
        <f>"001110000010200"</f>
        <v>001110000010200</v>
      </c>
      <c r="G264">
        <v>260</v>
      </c>
      <c r="I264" t="str">
        <f t="shared" si="61"/>
        <v>次</v>
      </c>
      <c r="K264" t="str">
        <f>"YJHZ-WB"</f>
        <v>YJHZ-WB</v>
      </c>
      <c r="L264" t="str">
        <f>"BBWY-QF"</f>
        <v>BBWY-QF</v>
      </c>
      <c r="M264">
        <v>260</v>
      </c>
      <c r="N264" t="str">
        <f>"111000001-b"</f>
        <v>111000001-b</v>
      </c>
      <c r="O264" t="str">
        <f t="shared" si="62"/>
        <v>次</v>
      </c>
      <c r="P264" t="str">
        <f>"会诊费"</f>
        <v>会诊费</v>
      </c>
    </row>
    <row r="265" spans="1:16">
      <c r="A265" t="str">
        <f>"一次性使用引流接管"</f>
        <v>一次性使用引流接管</v>
      </c>
      <c r="B265" t="str">
        <f>"120100001-4-1"</f>
        <v>120100001-4-1</v>
      </c>
      <c r="C265" t="str">
        <f>"材料"</f>
        <v>材料</v>
      </c>
      <c r="G265">
        <v>10</v>
      </c>
      <c r="I265" t="str">
        <f>"0.64X304.8"</f>
        <v>0.64X304.8</v>
      </c>
      <c r="K265" t="str">
        <f>"YCXSYYLJG"</f>
        <v>YCXSYYLJG</v>
      </c>
      <c r="L265" t="str">
        <f>"GUNWEXIRT"</f>
        <v>GUNWEXIRT</v>
      </c>
      <c r="M265">
        <v>10</v>
      </c>
      <c r="O265" t="str">
        <f>"根"</f>
        <v>根</v>
      </c>
      <c r="P265" t="str">
        <f>"材料费"</f>
        <v>材料费</v>
      </c>
    </row>
    <row r="266" spans="1:16">
      <c r="A266" t="str">
        <f>"造瘘护理"</f>
        <v>造瘘护理</v>
      </c>
      <c r="B266">
        <v>120100012</v>
      </c>
      <c r="C266" t="str">
        <f t="shared" ref="C266:C270" si="63">"其他"</f>
        <v>其他</v>
      </c>
      <c r="D266" t="str">
        <f>"001201000120000"</f>
        <v>001201000120000</v>
      </c>
      <c r="G266">
        <v>8</v>
      </c>
      <c r="I266" t="str">
        <f t="shared" ref="I266:I271" si="64">"次"</f>
        <v>次</v>
      </c>
      <c r="K266" t="str">
        <f>"ZLHL"</f>
        <v>ZLHL</v>
      </c>
      <c r="L266" t="str">
        <f>"TURG"</f>
        <v>TURG</v>
      </c>
      <c r="M266">
        <v>8</v>
      </c>
      <c r="N266">
        <v>120100012</v>
      </c>
      <c r="O266" t="str">
        <f t="shared" si="62"/>
        <v>次</v>
      </c>
      <c r="P266" t="str">
        <f>"一般护理费"</f>
        <v>一般护理费</v>
      </c>
    </row>
    <row r="267" spans="1:16">
      <c r="A267" t="str">
        <f>"动静脉置管护理"</f>
        <v>动静脉置管护理</v>
      </c>
      <c r="B267">
        <v>120100013</v>
      </c>
      <c r="C267" t="str">
        <f t="shared" si="63"/>
        <v>其他</v>
      </c>
      <c r="D267" t="str">
        <f>"001201000130000"</f>
        <v>001201000130000</v>
      </c>
      <c r="G267">
        <v>6.5</v>
      </c>
      <c r="I267" t="str">
        <f t="shared" si="64"/>
        <v>次</v>
      </c>
      <c r="K267" t="str">
        <f>"DJMZGHL"</f>
        <v>DJMZGHL</v>
      </c>
      <c r="L267" t="str">
        <f>"FGELTRG"</f>
        <v>FGELTRG</v>
      </c>
      <c r="M267">
        <v>6.5</v>
      </c>
      <c r="N267">
        <v>120100013</v>
      </c>
      <c r="O267" t="str">
        <f t="shared" si="62"/>
        <v>次</v>
      </c>
      <c r="P267" t="str">
        <f>"一般护理费"</f>
        <v>一般护理费</v>
      </c>
    </row>
    <row r="268" spans="1:16">
      <c r="A268" t="str">
        <f>"大抢救"</f>
        <v>大抢救</v>
      </c>
      <c r="B268">
        <v>120200001</v>
      </c>
      <c r="C268" t="str">
        <f t="shared" si="63"/>
        <v>其他</v>
      </c>
      <c r="D268" t="str">
        <f>"001202000010000"</f>
        <v>001202000010000</v>
      </c>
      <c r="G268">
        <v>130</v>
      </c>
      <c r="I268" t="str">
        <f t="shared" ref="I268:I270" si="65">"日"</f>
        <v>日</v>
      </c>
      <c r="K268" t="str">
        <f>"DQJ"</f>
        <v>DQJ</v>
      </c>
      <c r="L268" t="str">
        <f>"DRF"</f>
        <v>DRF</v>
      </c>
      <c r="M268">
        <v>130</v>
      </c>
      <c r="N268">
        <v>120200001</v>
      </c>
      <c r="O268" t="str">
        <f t="shared" ref="O268:O270" si="66">"日"</f>
        <v>日</v>
      </c>
      <c r="P268" t="str">
        <f t="shared" ref="P268:P270" si="67">"治疗费"</f>
        <v>治疗费</v>
      </c>
    </row>
    <row r="269" spans="1:16">
      <c r="A269" t="str">
        <f>"中抢救"</f>
        <v>中抢救</v>
      </c>
      <c r="B269">
        <v>120200002</v>
      </c>
      <c r="C269" t="str">
        <f t="shared" si="63"/>
        <v>其他</v>
      </c>
      <c r="D269" t="str">
        <f>"001202000020000"</f>
        <v>001202000020000</v>
      </c>
      <c r="G269">
        <v>65</v>
      </c>
      <c r="I269" t="str">
        <f t="shared" si="65"/>
        <v>日</v>
      </c>
      <c r="K269" t="str">
        <f>"ZQJ"</f>
        <v>ZQJ</v>
      </c>
      <c r="L269" t="str">
        <f>"KRF"</f>
        <v>KRF</v>
      </c>
      <c r="M269">
        <v>65</v>
      </c>
      <c r="N269">
        <v>120200002</v>
      </c>
      <c r="O269" t="str">
        <f t="shared" si="66"/>
        <v>日</v>
      </c>
      <c r="P269" t="str">
        <f t="shared" si="67"/>
        <v>治疗费</v>
      </c>
    </row>
    <row r="270" spans="1:16">
      <c r="A270" t="str">
        <f>"小抢救"</f>
        <v>小抢救</v>
      </c>
      <c r="B270">
        <v>120200003</v>
      </c>
      <c r="C270" t="str">
        <f t="shared" si="63"/>
        <v>其他</v>
      </c>
      <c r="D270" t="str">
        <f>"001202000030000"</f>
        <v>001202000030000</v>
      </c>
      <c r="G270">
        <v>39</v>
      </c>
      <c r="I270" t="str">
        <f t="shared" si="65"/>
        <v>日</v>
      </c>
      <c r="K270" t="str">
        <f>"XQJ"</f>
        <v>XQJ</v>
      </c>
      <c r="L270" t="str">
        <f>"IRF"</f>
        <v>IRF</v>
      </c>
      <c r="M270">
        <v>39</v>
      </c>
      <c r="N270">
        <v>120200003</v>
      </c>
      <c r="O270" t="str">
        <f t="shared" si="66"/>
        <v>日</v>
      </c>
      <c r="P270" t="str">
        <f t="shared" si="67"/>
        <v>治疗费</v>
      </c>
    </row>
    <row r="271" spans="1:16">
      <c r="A271" t="str">
        <f>"氧气吸入"</f>
        <v>氧气吸入</v>
      </c>
      <c r="B271">
        <v>120300001</v>
      </c>
      <c r="C271" t="str">
        <f>"输氧"</f>
        <v>输氧</v>
      </c>
      <c r="D271" t="str">
        <f>"001203000010000"</f>
        <v>001203000010000</v>
      </c>
      <c r="G271">
        <v>4</v>
      </c>
      <c r="I271" t="str">
        <f t="shared" si="64"/>
        <v>次</v>
      </c>
      <c r="K271" t="str">
        <f>"YQXR"</f>
        <v>YQXR</v>
      </c>
      <c r="L271" t="str">
        <f>"RRKT"</f>
        <v>RRKT</v>
      </c>
      <c r="M271">
        <v>4</v>
      </c>
      <c r="N271">
        <v>120300001</v>
      </c>
      <c r="O271" t="str">
        <f>"小时"</f>
        <v>小时</v>
      </c>
      <c r="P271" t="str">
        <f>"输氧费"</f>
        <v>输氧费</v>
      </c>
    </row>
    <row r="272" spans="1:16">
      <c r="A272" t="str">
        <f>"鼻吸氧管"</f>
        <v>鼻吸氧管</v>
      </c>
      <c r="B272" t="str">
        <f>"120300001-1-2"</f>
        <v>120300001-1-2</v>
      </c>
      <c r="C272" t="str">
        <f t="shared" ref="C272:C279" si="68">"材料"</f>
        <v>材料</v>
      </c>
      <c r="D272" t="str">
        <f>"C14020226600013000950000001"</f>
        <v>C14020226600013000950000001</v>
      </c>
      <c r="G272">
        <v>4.7</v>
      </c>
      <c r="I272" t="str">
        <f>"根"</f>
        <v>根</v>
      </c>
      <c r="K272" t="str">
        <f>"BXYG"</f>
        <v>BXYG</v>
      </c>
      <c r="L272" t="str">
        <f>"TKRT"</f>
        <v>TKRT</v>
      </c>
      <c r="M272">
        <v>4.7</v>
      </c>
      <c r="N272" t="str">
        <f>"120300001-1"</f>
        <v>120300001-1</v>
      </c>
      <c r="O272" t="str">
        <f>"每根"</f>
        <v>每根</v>
      </c>
      <c r="P272" t="str">
        <f t="shared" ref="P272:P279" si="69">"材料费"</f>
        <v>材料费</v>
      </c>
    </row>
    <row r="273" spans="1:16">
      <c r="A273" t="str">
        <f>"氧气吸入（持续吸氧）"</f>
        <v>氧气吸入（持续吸氧）</v>
      </c>
      <c r="B273" t="str">
        <f>"120300001-a"</f>
        <v>120300001-a</v>
      </c>
      <c r="C273" t="str">
        <f>"其他"</f>
        <v>其他</v>
      </c>
      <c r="D273" t="str">
        <f>"001203000010000"</f>
        <v>001203000010000</v>
      </c>
      <c r="G273">
        <v>65</v>
      </c>
      <c r="I273" t="str">
        <f>"日"</f>
        <v>日</v>
      </c>
      <c r="K273" t="str">
        <f>"YQXR（CXXY）"</f>
        <v>YQXR（CXXY）</v>
      </c>
      <c r="L273" t="str">
        <f>"RRKTRXKR"</f>
        <v>RRKTRXKR</v>
      </c>
      <c r="M273">
        <v>65</v>
      </c>
      <c r="N273" t="str">
        <f>"120300001-a"</f>
        <v>120300001-a</v>
      </c>
      <c r="O273" t="str">
        <f>"日"</f>
        <v>日</v>
      </c>
      <c r="P273" t="str">
        <f>"输氧费"</f>
        <v>输氧费</v>
      </c>
    </row>
    <row r="274" spans="1:16">
      <c r="A274" t="str">
        <f>"一次性使用真空静脉血样采集容器"</f>
        <v>一次性使用真空静脉血样采集容器</v>
      </c>
      <c r="B274" t="str">
        <f>"1204-3-5"</f>
        <v>1204-3-5</v>
      </c>
      <c r="C274" t="str">
        <f t="shared" si="68"/>
        <v>材料</v>
      </c>
      <c r="D274" t="str">
        <f>"C14230220300006048550000001"</f>
        <v>C14230220300006048550000001</v>
      </c>
      <c r="G274">
        <v>1.6</v>
      </c>
      <c r="I274" t="str">
        <f>"个"</f>
        <v>个</v>
      </c>
      <c r="K274" t="str">
        <f>"YCXSYZKJMXYCJRQ"</f>
        <v>YCXSYZKJMXYCJRQ</v>
      </c>
      <c r="L274" t="str">
        <f>"GUNWEFPGETSEWPK"</f>
        <v>GUNWEFPGETSEWPK</v>
      </c>
      <c r="M274">
        <v>1.6</v>
      </c>
      <c r="N274" t="str">
        <f>"1204-3"</f>
        <v>1204-3</v>
      </c>
      <c r="O274" t="str">
        <f>"个"</f>
        <v>个</v>
      </c>
      <c r="P274" t="str">
        <f t="shared" si="69"/>
        <v>材料费</v>
      </c>
    </row>
    <row r="275" spans="1:16">
      <c r="A275" t="str">
        <f>"一次性使用无菌注射器（10ml）"</f>
        <v>一次性使用无菌注射器（10ml）</v>
      </c>
      <c r="B275" t="str">
        <f>"1204-4-10"</f>
        <v>1204-4-10</v>
      </c>
      <c r="C275" t="str">
        <f t="shared" si="68"/>
        <v>材料</v>
      </c>
      <c r="D275" t="str">
        <f>"C14230120200001"</f>
        <v>C14230120200001</v>
      </c>
      <c r="G275" t="str">
        <f t="shared" ref="G275:G278" si="70">"0.7"</f>
        <v>0.7</v>
      </c>
      <c r="I275" t="str">
        <f>"10ml"</f>
        <v>10ml</v>
      </c>
      <c r="K275" t="str">
        <f>"YCXSYWJZSQ10ML"</f>
        <v>YCXSYWJZSQ10ML</v>
      </c>
      <c r="L275" t="str">
        <f>"GUNWEFAITK10ML"</f>
        <v>GUNWEFAITK10ML</v>
      </c>
      <c r="M275" t="str">
        <f t="shared" ref="M275:M278" si="71">"0.7"</f>
        <v>0.7</v>
      </c>
      <c r="N275" t="str">
        <f>"1204-4-10"</f>
        <v>1204-4-10</v>
      </c>
      <c r="O275" t="str">
        <f t="shared" ref="O275:O279" si="72">"支"</f>
        <v>支</v>
      </c>
      <c r="P275" t="str">
        <f t="shared" si="69"/>
        <v>材料费</v>
      </c>
    </row>
    <row r="276" spans="1:16">
      <c r="A276" t="str">
        <f>"一次性使用无菌注射器(50ml)"</f>
        <v>一次性使用无菌注射器(50ml)</v>
      </c>
      <c r="B276" t="str">
        <f>"1204-4-4"</f>
        <v>1204-4-4</v>
      </c>
      <c r="C276" t="str">
        <f t="shared" si="68"/>
        <v>材料</v>
      </c>
      <c r="D276" t="str">
        <f>"C16010110200000095600000335"</f>
        <v>C16010110200000095600000335</v>
      </c>
      <c r="G276">
        <v>2.2</v>
      </c>
      <c r="I276" t="str">
        <f>"50ML"</f>
        <v>50ML</v>
      </c>
      <c r="K276" t="str">
        <f>"YCXSYWJZSQ50ML"</f>
        <v>YCXSYWJZSQ50ML</v>
      </c>
      <c r="L276" t="str">
        <f>"GUNWEFAITK50ML"</f>
        <v>GUNWEFAITK50ML</v>
      </c>
      <c r="M276">
        <v>2.2</v>
      </c>
      <c r="N276" t="str">
        <f>"1204-4"</f>
        <v>1204-4</v>
      </c>
      <c r="O276" t="str">
        <f t="shared" si="72"/>
        <v>支</v>
      </c>
      <c r="P276" t="str">
        <f t="shared" si="69"/>
        <v>材料费</v>
      </c>
    </row>
    <row r="277" spans="1:16">
      <c r="A277" t="str">
        <f>"一次性使用无菌注射器(5ml)"</f>
        <v>一次性使用无菌注射器(5ml)</v>
      </c>
      <c r="B277" t="str">
        <f>"1204-4-55"</f>
        <v>1204-4-55</v>
      </c>
      <c r="C277" t="str">
        <f t="shared" si="68"/>
        <v>材料</v>
      </c>
      <c r="D277" t="str">
        <f>"C16010110200000095600000171"</f>
        <v>C16010110200000095600000171</v>
      </c>
      <c r="G277" t="str">
        <f t="shared" si="70"/>
        <v>0.7</v>
      </c>
      <c r="I277" t="str">
        <f>"5ml"</f>
        <v>5ml</v>
      </c>
      <c r="K277" t="str">
        <f>"YCXSYWJZSQ5ML"</f>
        <v>YCXSYWJZSQ5ML</v>
      </c>
      <c r="L277" t="str">
        <f>"GUNWEFAITK5ML"</f>
        <v>GUNWEFAITK5ML</v>
      </c>
      <c r="M277" t="str">
        <f t="shared" si="71"/>
        <v>0.7</v>
      </c>
      <c r="N277" t="str">
        <f>"1204-4-55"</f>
        <v>1204-4-55</v>
      </c>
      <c r="O277" t="str">
        <f t="shared" si="72"/>
        <v>支</v>
      </c>
      <c r="P277" t="str">
        <f t="shared" si="69"/>
        <v>材料费</v>
      </c>
    </row>
    <row r="278" spans="1:16">
      <c r="A278" t="str">
        <f>"一次性使用无菌注射器(2ml)"</f>
        <v>一次性使用无菌注射器(2ml)</v>
      </c>
      <c r="B278" t="str">
        <f>"1204-4-66"</f>
        <v>1204-4-66</v>
      </c>
      <c r="C278" t="str">
        <f t="shared" si="68"/>
        <v>材料</v>
      </c>
      <c r="D278" t="str">
        <f>"C16010110200000095600000157"</f>
        <v>C16010110200000095600000157</v>
      </c>
      <c r="G278" t="str">
        <f t="shared" si="70"/>
        <v>0.7</v>
      </c>
      <c r="I278" t="str">
        <f>"2ml"</f>
        <v>2ml</v>
      </c>
      <c r="K278" t="str">
        <f>"YCXSYWJZSQ2ML"</f>
        <v>YCXSYWJZSQ2ML</v>
      </c>
      <c r="L278" t="str">
        <f>"GUNWEFAITK2ML"</f>
        <v>GUNWEFAITK2ML</v>
      </c>
      <c r="M278" t="str">
        <f t="shared" si="71"/>
        <v>0.7</v>
      </c>
      <c r="N278" t="str">
        <f>"1204-4-66"</f>
        <v>1204-4-66</v>
      </c>
      <c r="O278" t="str">
        <f t="shared" si="72"/>
        <v>支</v>
      </c>
      <c r="P278" t="str">
        <f t="shared" si="69"/>
        <v>材料费</v>
      </c>
    </row>
    <row r="279" spans="1:16">
      <c r="A279" t="str">
        <f>"一次性使用无菌注射器(20ml)"</f>
        <v>一次性使用无菌注射器(20ml)</v>
      </c>
      <c r="B279" t="str">
        <f>"1204-4-99"</f>
        <v>1204-4-99</v>
      </c>
      <c r="C279" t="str">
        <f t="shared" si="68"/>
        <v>材料</v>
      </c>
      <c r="D279" t="str">
        <f>"C16010110200000095600000323"</f>
        <v>C16010110200000095600000323</v>
      </c>
      <c r="G279">
        <v>1</v>
      </c>
      <c r="I279" t="str">
        <f>"20ml"</f>
        <v>20ml</v>
      </c>
      <c r="K279" t="str">
        <f>"YCXSYWJZSQ20ML"</f>
        <v>YCXSYWJZSQ20ML</v>
      </c>
      <c r="L279" t="str">
        <f>"GUNWEFAITK20ML"</f>
        <v>GUNWEFAITK20ML</v>
      </c>
      <c r="M279">
        <v>1</v>
      </c>
      <c r="N279" t="str">
        <f>"1204-4-99"</f>
        <v>1204-4-99</v>
      </c>
      <c r="O279" t="str">
        <f t="shared" si="72"/>
        <v>支</v>
      </c>
      <c r="P279" t="str">
        <f t="shared" si="69"/>
        <v>材料费</v>
      </c>
    </row>
    <row r="280" spans="1:16">
      <c r="A280" t="str">
        <f>"肌肉注射"</f>
        <v>肌肉注射</v>
      </c>
      <c r="B280">
        <v>120400001</v>
      </c>
      <c r="C280" t="str">
        <f t="shared" ref="C280:C288" si="73">"其他"</f>
        <v>其他</v>
      </c>
      <c r="D280" t="str">
        <f t="shared" ref="D280:D284" si="74">"001204000010000"</f>
        <v>001204000010000</v>
      </c>
      <c r="G280">
        <v>4</v>
      </c>
      <c r="I280" t="str">
        <f>"次"</f>
        <v>次</v>
      </c>
      <c r="K280" t="str">
        <f>"JRZS"</f>
        <v>JRZS</v>
      </c>
      <c r="L280" t="str">
        <f>"EMIT"</f>
        <v>EMIT</v>
      </c>
      <c r="M280">
        <v>5</v>
      </c>
      <c r="N280">
        <v>120400001</v>
      </c>
      <c r="O280" t="str">
        <f t="shared" ref="O280:O284" si="75">"次"</f>
        <v>次</v>
      </c>
      <c r="P280" t="str">
        <f t="shared" ref="P280:P284" si="76">"其他护理费"</f>
        <v>其他护理费</v>
      </c>
    </row>
    <row r="281" spans="1:16">
      <c r="A281" t="str">
        <f>"一次性使用胰岛素笔配套用针"</f>
        <v>一次性使用胰岛素笔配套用针</v>
      </c>
      <c r="B281" t="str">
        <f>"120400001-1-15"</f>
        <v>120400001-1-15</v>
      </c>
      <c r="C281" t="str">
        <f>"材料"</f>
        <v>材料</v>
      </c>
      <c r="G281">
        <v>1.25</v>
      </c>
      <c r="I281" t="str">
        <f>"32Gx4mm"</f>
        <v>32Gx4mm</v>
      </c>
      <c r="K281" t="str">
        <f>"YCXSYYDSBPTYZ"</f>
        <v>YCXSYYDSBPTYZ</v>
      </c>
      <c r="L281" t="str">
        <f>"GUNWEEQGTSDEQ"</f>
        <v>GUNWEEQGTSDEQ</v>
      </c>
      <c r="M281">
        <v>3</v>
      </c>
      <c r="O281" t="str">
        <f>"支"</f>
        <v>支</v>
      </c>
      <c r="P281" t="str">
        <f>"材料费"</f>
        <v>材料费</v>
      </c>
    </row>
    <row r="282" spans="1:16">
      <c r="A282" t="str">
        <f>"一次性胰岛素笔用针头(Omnican(r)fine)"</f>
        <v>一次性胰岛素笔用针头(Omnican(r)fine)</v>
      </c>
      <c r="B282" t="str">
        <f>"120400001-1-5"</f>
        <v>120400001-1-5</v>
      </c>
      <c r="C282" t="str">
        <f>"材料"</f>
        <v>材料</v>
      </c>
      <c r="D282" t="str">
        <f>"C16020103202004028340000002"</f>
        <v>C16020103202004028340000002</v>
      </c>
      <c r="G282">
        <v>2</v>
      </c>
      <c r="I282" t="str">
        <f>"0.25*4mm(31G)"</f>
        <v>0.25*4mm(31G)</v>
      </c>
      <c r="K282" t="str">
        <f>"YCXYDSBYZTOMNICA"</f>
        <v>YCXYDSBYZTOMNICA</v>
      </c>
      <c r="L282" t="str">
        <f>"GUNEQGTEQUOMNICA"</f>
        <v>GUNEQGTEQUOMNICA</v>
      </c>
      <c r="M282">
        <v>2</v>
      </c>
      <c r="O282" t="str">
        <f>"支"</f>
        <v>支</v>
      </c>
      <c r="P282" t="str">
        <f>"材料费"</f>
        <v>材料费</v>
      </c>
    </row>
    <row r="283" spans="1:16">
      <c r="A283" t="str">
        <f>"皮内注射"</f>
        <v>皮内注射</v>
      </c>
      <c r="B283" t="str">
        <f>"120400001-2"</f>
        <v>120400001-2</v>
      </c>
      <c r="C283" t="str">
        <f t="shared" si="73"/>
        <v>其他</v>
      </c>
      <c r="D283" t="str">
        <f t="shared" si="74"/>
        <v>001204000010000</v>
      </c>
      <c r="G283">
        <v>4</v>
      </c>
      <c r="I283">
        <v>1</v>
      </c>
      <c r="K283" t="str">
        <f>"PNZS"</f>
        <v>PNZS</v>
      </c>
      <c r="L283" t="str">
        <f>"HMIT"</f>
        <v>HMIT</v>
      </c>
      <c r="M283">
        <v>5</v>
      </c>
      <c r="N283">
        <v>120400001</v>
      </c>
      <c r="O283" t="str">
        <f t="shared" si="75"/>
        <v>次</v>
      </c>
      <c r="P283" t="str">
        <f t="shared" si="76"/>
        <v>其他护理费</v>
      </c>
    </row>
    <row r="284" spans="1:16">
      <c r="A284" t="str">
        <f>"皮下注射"</f>
        <v>皮下注射</v>
      </c>
      <c r="B284" t="str">
        <f>"120400001-3"</f>
        <v>120400001-3</v>
      </c>
      <c r="C284" t="str">
        <f t="shared" si="73"/>
        <v>其他</v>
      </c>
      <c r="D284" t="str">
        <f t="shared" si="74"/>
        <v>001204000010000</v>
      </c>
      <c r="G284">
        <v>4</v>
      </c>
      <c r="I284">
        <v>1</v>
      </c>
      <c r="K284" t="str">
        <f>"PXZS"</f>
        <v>PXZS</v>
      </c>
      <c r="L284" t="str">
        <f>"HGIT"</f>
        <v>HGIT</v>
      </c>
      <c r="M284">
        <v>5</v>
      </c>
      <c r="N284">
        <v>120400001</v>
      </c>
      <c r="O284" t="str">
        <f t="shared" si="75"/>
        <v>次</v>
      </c>
      <c r="P284" t="str">
        <f t="shared" si="76"/>
        <v>其他护理费</v>
      </c>
    </row>
    <row r="285" spans="1:16">
      <c r="A285" t="str">
        <f>"静脉注射"</f>
        <v>静脉注射</v>
      </c>
      <c r="B285">
        <v>120400002</v>
      </c>
      <c r="C285" t="str">
        <f t="shared" si="73"/>
        <v>其他</v>
      </c>
      <c r="D285" t="str">
        <f>"001204000020000"</f>
        <v>001204000020000</v>
      </c>
      <c r="G285">
        <v>5</v>
      </c>
      <c r="I285">
        <v>1</v>
      </c>
      <c r="K285" t="str">
        <f>"JMZS"</f>
        <v>JMZS</v>
      </c>
      <c r="L285" t="str">
        <f>"GEIT"</f>
        <v>GEIT</v>
      </c>
      <c r="M285">
        <v>6</v>
      </c>
      <c r="N285">
        <v>120400002</v>
      </c>
      <c r="O285" t="str">
        <f>"每次"</f>
        <v>每次</v>
      </c>
      <c r="P285" t="str">
        <f>"一般护理费"</f>
        <v>一般护理费</v>
      </c>
    </row>
    <row r="286" spans="1:16">
      <c r="A286" t="str">
        <f>"心内注射"</f>
        <v>心内注射</v>
      </c>
      <c r="B286">
        <v>120400003</v>
      </c>
      <c r="C286" t="str">
        <f t="shared" si="73"/>
        <v>其他</v>
      </c>
      <c r="D286" t="str">
        <f>"001204000030000"</f>
        <v>001204000030000</v>
      </c>
      <c r="G286">
        <v>5.2</v>
      </c>
      <c r="I286" t="str">
        <f>"次"</f>
        <v>次</v>
      </c>
      <c r="K286" t="str">
        <f>"XNZS"</f>
        <v>XNZS</v>
      </c>
      <c r="L286" t="str">
        <f>"NMIT"</f>
        <v>NMIT</v>
      </c>
      <c r="M286">
        <v>10</v>
      </c>
      <c r="N286">
        <v>120400003</v>
      </c>
      <c r="O286" t="str">
        <f>"次"</f>
        <v>次</v>
      </c>
      <c r="P286" t="str">
        <f>"治疗费"</f>
        <v>治疗费</v>
      </c>
    </row>
    <row r="287" spans="1:16">
      <c r="A287" t="str">
        <f>"皮下输液"</f>
        <v>皮下输液</v>
      </c>
      <c r="B287">
        <v>120400005</v>
      </c>
      <c r="C287" t="str">
        <f t="shared" si="73"/>
        <v>其他</v>
      </c>
      <c r="D287" t="str">
        <f>"001204000050000"</f>
        <v>001204000050000</v>
      </c>
      <c r="G287">
        <v>2.6</v>
      </c>
      <c r="I287" t="str">
        <f>"组"</f>
        <v>组</v>
      </c>
      <c r="K287" t="str">
        <f>"PXSY"</f>
        <v>PXSY</v>
      </c>
      <c r="L287" t="str">
        <f>"HGLI"</f>
        <v>HGLI</v>
      </c>
      <c r="M287">
        <v>2.6</v>
      </c>
      <c r="N287">
        <v>120400005</v>
      </c>
      <c r="O287" t="str">
        <f>"组"</f>
        <v>组</v>
      </c>
      <c r="P287" t="str">
        <f>"治疗费"</f>
        <v>治疗费</v>
      </c>
    </row>
    <row r="288" spans="1:16">
      <c r="A288" t="str">
        <f>"静脉输液"</f>
        <v>静脉输液</v>
      </c>
      <c r="B288">
        <v>120400006</v>
      </c>
      <c r="C288" t="str">
        <f t="shared" si="73"/>
        <v>其他</v>
      </c>
      <c r="D288" t="str">
        <f>"001204000060000"</f>
        <v>001204000060000</v>
      </c>
      <c r="G288">
        <v>8</v>
      </c>
      <c r="I288" t="str">
        <f>"次"</f>
        <v>次</v>
      </c>
      <c r="K288" t="str">
        <f>"JMSY"</f>
        <v>JMSY</v>
      </c>
      <c r="L288" t="str">
        <f>"GELI"</f>
        <v>GELI</v>
      </c>
      <c r="M288">
        <v>8</v>
      </c>
      <c r="N288">
        <v>120400006</v>
      </c>
      <c r="O288" t="str">
        <f>"次"</f>
        <v>次</v>
      </c>
      <c r="P288" t="str">
        <f t="shared" ref="P288:P292" si="77">"其他护理费"</f>
        <v>其他护理费</v>
      </c>
    </row>
    <row r="289" spans="1:16">
      <c r="A289" t="str">
        <f>"一次性使用医用三通道旋阀"</f>
        <v>一次性使用医用三通道旋阀</v>
      </c>
      <c r="B289" t="str">
        <f>"120400006-2-6"</f>
        <v>120400006-2-6</v>
      </c>
      <c r="C289" t="str">
        <f>"材料"</f>
        <v>材料</v>
      </c>
      <c r="G289">
        <v>2</v>
      </c>
      <c r="I289" t="str">
        <f>"三通道旋阀"</f>
        <v>三通道旋阀</v>
      </c>
      <c r="K289" t="str">
        <f>"YCXSYYYSTDXF"</f>
        <v>YCXSYYYSTDXF</v>
      </c>
      <c r="L289" t="str">
        <f>"GUNWEAEDCUYU"</f>
        <v>GUNWEAEDCUYU</v>
      </c>
      <c r="M289">
        <v>2.8</v>
      </c>
      <c r="O289" t="str">
        <f>"个"</f>
        <v>个</v>
      </c>
      <c r="P289" t="str">
        <f>"材料费"</f>
        <v>材料费</v>
      </c>
    </row>
    <row r="290" spans="1:16">
      <c r="A290" t="str">
        <f>"密闭式静脉留置针"</f>
        <v>密闭式静脉留置针</v>
      </c>
      <c r="B290" t="str">
        <f>"120400006-4"</f>
        <v>120400006-4</v>
      </c>
      <c r="C290" t="str">
        <f>"材料"</f>
        <v>材料</v>
      </c>
      <c r="D290" t="str">
        <f>"C16050119402007006290000012"</f>
        <v>C16050119402007006290000012</v>
      </c>
      <c r="G290">
        <v>3.2</v>
      </c>
      <c r="I290" t="str">
        <f>"18-24G"</f>
        <v>18-24G</v>
      </c>
      <c r="K290" t="str">
        <f>"MBSJMLZZ"</f>
        <v>MBSJMLZZ</v>
      </c>
      <c r="L290" t="str">
        <f>"PUAGEQLQ"</f>
        <v>PUAGEQLQ</v>
      </c>
      <c r="M290">
        <v>17</v>
      </c>
      <c r="N290" t="str">
        <f>"120400006-4"</f>
        <v>120400006-4</v>
      </c>
      <c r="O290" t="str">
        <f>"支"</f>
        <v>支</v>
      </c>
      <c r="P290" t="str">
        <f>"材料费"</f>
        <v>材料费</v>
      </c>
    </row>
    <row r="291" spans="1:16">
      <c r="A291" t="str">
        <f>"微量泵或输液泵加收"</f>
        <v>微量泵或输液泵加收</v>
      </c>
      <c r="B291" t="str">
        <f>"120400006-a"</f>
        <v>120400006-a</v>
      </c>
      <c r="C291" t="str">
        <f t="shared" ref="C291:C301" si="78">"其他"</f>
        <v>其他</v>
      </c>
      <c r="D291" t="str">
        <f>"001204000060001"</f>
        <v>001204000060001</v>
      </c>
      <c r="G291" t="str">
        <f>"0.7"</f>
        <v>0.7</v>
      </c>
      <c r="I291">
        <v>1</v>
      </c>
      <c r="K291" t="str">
        <f>"WLBHSYBJS"</f>
        <v>WLBHSYBJS</v>
      </c>
      <c r="L291" t="str">
        <f>"TJDALIDLN"</f>
        <v>TJDALIDLN</v>
      </c>
      <c r="M291" t="str">
        <f>"0.7"</f>
        <v>0.7</v>
      </c>
      <c r="N291" t="str">
        <f>"120400006-a"</f>
        <v>120400006-a</v>
      </c>
      <c r="O291" t="str">
        <f>"小时"</f>
        <v>小时</v>
      </c>
      <c r="P291" t="str">
        <f t="shared" si="77"/>
        <v>其他护理费</v>
      </c>
    </row>
    <row r="292" spans="1:16">
      <c r="A292" t="str">
        <f>"静脉输液每瓶加收"</f>
        <v>静脉输液每瓶加收</v>
      </c>
      <c r="B292" t="str">
        <f>"120400006-b"</f>
        <v>120400006-b</v>
      </c>
      <c r="C292" t="str">
        <f t="shared" si="78"/>
        <v>其他</v>
      </c>
      <c r="D292" t="str">
        <f>"001204000060000"</f>
        <v>001204000060000</v>
      </c>
      <c r="G292">
        <v>1.3</v>
      </c>
      <c r="I292" t="str">
        <f>"-"</f>
        <v>-</v>
      </c>
      <c r="K292" t="str">
        <f>"JMSYMPJS"</f>
        <v>JMSYMPJS</v>
      </c>
      <c r="L292" t="str">
        <f>"GELITULN"</f>
        <v>GELITULN</v>
      </c>
      <c r="M292">
        <v>1.3</v>
      </c>
      <c r="N292" t="str">
        <f>"120400006-b"</f>
        <v>120400006-b</v>
      </c>
      <c r="O292" t="str">
        <f>"瓶"</f>
        <v>瓶</v>
      </c>
      <c r="P292" t="str">
        <f t="shared" si="77"/>
        <v>其他护理费</v>
      </c>
    </row>
    <row r="293" spans="1:16">
      <c r="A293" t="str">
        <f>"静脉高营养治疗"</f>
        <v>静脉高营养治疗</v>
      </c>
      <c r="B293">
        <v>120400008</v>
      </c>
      <c r="C293" t="str">
        <f t="shared" si="78"/>
        <v>其他</v>
      </c>
      <c r="D293" t="str">
        <f>"001204000080000"</f>
        <v>001204000080000</v>
      </c>
      <c r="G293">
        <v>6.5</v>
      </c>
      <c r="I293" t="str">
        <f t="shared" ref="I293:I301" si="79">"次"</f>
        <v>次</v>
      </c>
      <c r="K293" t="str">
        <f>"JMGYYZL"</f>
        <v>JMGYYZL</v>
      </c>
      <c r="L293" t="str">
        <f>"GEYAUIU"</f>
        <v>GEYAUIU</v>
      </c>
      <c r="M293">
        <v>6.5</v>
      </c>
      <c r="N293">
        <v>120400008</v>
      </c>
      <c r="O293" t="str">
        <f t="shared" ref="O293:O301" si="80">"次"</f>
        <v>次</v>
      </c>
      <c r="P293" t="str">
        <f t="shared" ref="P293:P295" si="81">"治疗费"</f>
        <v>治疗费</v>
      </c>
    </row>
    <row r="294" spans="1:16">
      <c r="A294" t="str">
        <f>"静脉穿刺置管术"</f>
        <v>静脉穿刺置管术</v>
      </c>
      <c r="B294">
        <v>120400010</v>
      </c>
      <c r="C294" t="str">
        <f t="shared" si="78"/>
        <v>其他</v>
      </c>
      <c r="D294" t="str">
        <f>"001204000100000"</f>
        <v>001204000100000</v>
      </c>
      <c r="G294">
        <v>13</v>
      </c>
      <c r="I294" t="str">
        <f t="shared" si="79"/>
        <v>次</v>
      </c>
      <c r="K294" t="str">
        <f>"JMCCZGS"</f>
        <v>JMCCZGS</v>
      </c>
      <c r="L294" t="str">
        <f>"GEPGLTS"</f>
        <v>GEPGLTS</v>
      </c>
      <c r="M294">
        <v>30</v>
      </c>
      <c r="N294">
        <v>120400010</v>
      </c>
      <c r="O294" t="str">
        <f t="shared" si="80"/>
        <v>次</v>
      </c>
      <c r="P294" t="str">
        <f t="shared" si="81"/>
        <v>治疗费</v>
      </c>
    </row>
    <row r="295" spans="1:16">
      <c r="A295" t="str">
        <f>"动脉穿刺置管术"</f>
        <v>动脉穿刺置管术</v>
      </c>
      <c r="B295">
        <v>120400012</v>
      </c>
      <c r="C295" t="str">
        <f t="shared" si="78"/>
        <v>其他</v>
      </c>
      <c r="D295" t="str">
        <f>"001204000120000"</f>
        <v>001204000120000</v>
      </c>
      <c r="G295">
        <v>52</v>
      </c>
      <c r="I295" t="str">
        <f t="shared" si="79"/>
        <v>次</v>
      </c>
      <c r="K295" t="str">
        <f>"DMCCZGS"</f>
        <v>DMCCZGS</v>
      </c>
      <c r="L295" t="str">
        <f>"FEPGLTS"</f>
        <v>FEPGLTS</v>
      </c>
      <c r="M295">
        <v>70</v>
      </c>
      <c r="N295">
        <v>120400012</v>
      </c>
      <c r="O295" t="str">
        <f t="shared" si="80"/>
        <v>次</v>
      </c>
      <c r="P295" t="str">
        <f t="shared" si="81"/>
        <v>治疗费</v>
      </c>
    </row>
    <row r="296" spans="1:16">
      <c r="A296" t="str">
        <f>"大清创缝合"</f>
        <v>大清创缝合</v>
      </c>
      <c r="B296">
        <v>120500001</v>
      </c>
      <c r="C296" t="str">
        <f t="shared" si="78"/>
        <v>其他</v>
      </c>
      <c r="D296" t="str">
        <f>"001205000010000"</f>
        <v>001205000010000</v>
      </c>
      <c r="G296">
        <v>170</v>
      </c>
      <c r="I296" t="str">
        <f t="shared" si="79"/>
        <v>次</v>
      </c>
      <c r="K296" t="str">
        <f>"DQCFH"</f>
        <v>DQCFH</v>
      </c>
      <c r="L296" t="str">
        <f>"DIWXW"</f>
        <v>DIWXW</v>
      </c>
      <c r="M296">
        <v>170</v>
      </c>
      <c r="N296">
        <v>120500001</v>
      </c>
      <c r="O296" t="str">
        <f t="shared" si="80"/>
        <v>次</v>
      </c>
      <c r="P296" t="str">
        <f t="shared" ref="P296:P301" si="82">"手术费"</f>
        <v>手术费</v>
      </c>
    </row>
    <row r="297" spans="1:16">
      <c r="A297" t="str">
        <f>"大清创"</f>
        <v>大清创</v>
      </c>
      <c r="B297" t="str">
        <f>"120500001-a"</f>
        <v>120500001-a</v>
      </c>
      <c r="C297" t="str">
        <f t="shared" si="78"/>
        <v>其他</v>
      </c>
      <c r="D297" t="str">
        <f>"001205000010000"</f>
        <v>001205000010000</v>
      </c>
      <c r="G297">
        <v>70</v>
      </c>
      <c r="I297" t="str">
        <f t="shared" si="79"/>
        <v>次</v>
      </c>
      <c r="K297" t="str">
        <f>"DQC"</f>
        <v>DQC</v>
      </c>
      <c r="L297" t="str">
        <f>"DIW"</f>
        <v>DIW</v>
      </c>
      <c r="M297">
        <v>70</v>
      </c>
      <c r="N297" t="str">
        <f>"120500001-a"</f>
        <v>120500001-a</v>
      </c>
      <c r="O297" t="str">
        <f t="shared" si="80"/>
        <v>次</v>
      </c>
      <c r="P297" t="str">
        <f>"治疗费"</f>
        <v>治疗费</v>
      </c>
    </row>
    <row r="298" spans="1:16">
      <c r="A298" t="str">
        <f>"中清创缝合"</f>
        <v>中清创缝合</v>
      </c>
      <c r="B298">
        <v>120500002</v>
      </c>
      <c r="C298" t="str">
        <f t="shared" si="78"/>
        <v>其他</v>
      </c>
      <c r="D298" t="str">
        <f>"001205000020000"</f>
        <v>001205000020000</v>
      </c>
      <c r="G298">
        <v>85</v>
      </c>
      <c r="I298" t="str">
        <f t="shared" si="79"/>
        <v>次</v>
      </c>
      <c r="K298" t="str">
        <f>"ZQCFH"</f>
        <v>ZQCFH</v>
      </c>
      <c r="L298" t="str">
        <f>"KIWXW"</f>
        <v>KIWXW</v>
      </c>
      <c r="M298">
        <v>85</v>
      </c>
      <c r="N298">
        <v>120500002</v>
      </c>
      <c r="O298" t="str">
        <f t="shared" si="80"/>
        <v>次</v>
      </c>
      <c r="P298" t="str">
        <f>"治疗费"</f>
        <v>治疗费</v>
      </c>
    </row>
    <row r="299" spans="1:16">
      <c r="A299" t="str">
        <f>"中清创"</f>
        <v>中清创</v>
      </c>
      <c r="B299" t="str">
        <f>"120500002-a"</f>
        <v>120500002-a</v>
      </c>
      <c r="C299" t="str">
        <f t="shared" si="78"/>
        <v>其他</v>
      </c>
      <c r="D299" t="str">
        <f>"001205000020000"</f>
        <v>001205000020000</v>
      </c>
      <c r="G299">
        <v>60</v>
      </c>
      <c r="I299" t="str">
        <f t="shared" si="79"/>
        <v>次</v>
      </c>
      <c r="K299" t="str">
        <f>"ZQC"</f>
        <v>ZQC</v>
      </c>
      <c r="L299" t="str">
        <f>"KIW"</f>
        <v>KIW</v>
      </c>
      <c r="M299">
        <v>60</v>
      </c>
      <c r="N299" t="str">
        <f>"120500002-a"</f>
        <v>120500002-a</v>
      </c>
      <c r="O299" t="str">
        <f t="shared" si="80"/>
        <v>次</v>
      </c>
      <c r="P299" t="str">
        <f t="shared" si="82"/>
        <v>手术费</v>
      </c>
    </row>
    <row r="300" spans="1:16">
      <c r="A300" t="str">
        <f>"小清创缝合"</f>
        <v>小清创缝合</v>
      </c>
      <c r="B300">
        <v>120500003</v>
      </c>
      <c r="C300" t="str">
        <f t="shared" si="78"/>
        <v>其他</v>
      </c>
      <c r="D300" t="str">
        <f>"001205000030000"</f>
        <v>001205000030000</v>
      </c>
      <c r="G300">
        <v>65</v>
      </c>
      <c r="I300" t="str">
        <f t="shared" si="79"/>
        <v>次</v>
      </c>
      <c r="K300" t="str">
        <f>"XQCFH"</f>
        <v>XQCFH</v>
      </c>
      <c r="L300" t="str">
        <f>"IIWXW"</f>
        <v>IIWXW</v>
      </c>
      <c r="M300">
        <v>65</v>
      </c>
      <c r="N300">
        <v>120500003</v>
      </c>
      <c r="O300" t="str">
        <f t="shared" si="80"/>
        <v>次</v>
      </c>
      <c r="P300" t="str">
        <f t="shared" si="82"/>
        <v>手术费</v>
      </c>
    </row>
    <row r="301" spans="1:16">
      <c r="A301" t="str">
        <f>"小清创"</f>
        <v>小清创</v>
      </c>
      <c r="B301" t="str">
        <f>"120500003-a"</f>
        <v>120500003-a</v>
      </c>
      <c r="C301" t="str">
        <f t="shared" si="78"/>
        <v>其他</v>
      </c>
      <c r="D301" t="str">
        <f>"001205000030000"</f>
        <v>001205000030000</v>
      </c>
      <c r="G301">
        <v>35</v>
      </c>
      <c r="I301" t="str">
        <f t="shared" si="79"/>
        <v>次</v>
      </c>
      <c r="K301" t="str">
        <f>"XQC"</f>
        <v>XQC</v>
      </c>
      <c r="L301" t="str">
        <f>"IIW"</f>
        <v>IIW</v>
      </c>
      <c r="M301">
        <v>35</v>
      </c>
      <c r="N301" t="str">
        <f>"120500003-a"</f>
        <v>120500003-a</v>
      </c>
      <c r="O301" t="str">
        <f t="shared" si="80"/>
        <v>次</v>
      </c>
      <c r="P301" t="str">
        <f t="shared" si="82"/>
        <v>手术费</v>
      </c>
    </row>
    <row r="302" spans="1:16">
      <c r="A302" t="str">
        <f>"接触性创面敷贴"</f>
        <v>接触性创面敷贴</v>
      </c>
      <c r="B302" t="str">
        <f>"1206-11"</f>
        <v>1206-11</v>
      </c>
      <c r="C302" t="str">
        <f t="shared" ref="C302:C308" si="83">"材料"</f>
        <v>材料</v>
      </c>
      <c r="G302">
        <v>2.4</v>
      </c>
      <c r="I302" t="str">
        <f>"6cm*7cm"</f>
        <v>6cm*7cm</v>
      </c>
      <c r="K302" t="str">
        <f>"JCXCMFT"</f>
        <v>JCXCMFT</v>
      </c>
      <c r="L302" t="str">
        <f>"RQNWDGM"</f>
        <v>RQNWDGM</v>
      </c>
      <c r="M302">
        <v>2.4</v>
      </c>
      <c r="O302" t="str">
        <f t="shared" ref="O302:O305" si="84">"片"</f>
        <v>片</v>
      </c>
      <c r="P302" t="str">
        <f t="shared" ref="P302:P304" si="85">"材料费"</f>
        <v>材料费</v>
      </c>
    </row>
    <row r="303" spans="1:16">
      <c r="A303" t="str">
        <f>"3600253-弹力绷带"</f>
        <v>3600253-弹力绷带</v>
      </c>
      <c r="B303" t="str">
        <f>"1206-2-1"</f>
        <v>1206-2-1</v>
      </c>
      <c r="C303" t="str">
        <f t="shared" si="83"/>
        <v>材料</v>
      </c>
      <c r="D303" t="str">
        <f>"C14090118800000056890000019"</f>
        <v>C14090118800000056890000019</v>
      </c>
      <c r="G303">
        <v>1.26</v>
      </c>
      <c r="I303" t="str">
        <f>"/"</f>
        <v>/</v>
      </c>
      <c r="K303" t="str">
        <f>"3600253DLBD"</f>
        <v>3600253DLBD</v>
      </c>
      <c r="L303" t="str">
        <f>"3600253XLXG"</f>
        <v>3600253XLXG</v>
      </c>
      <c r="M303">
        <v>3.5</v>
      </c>
      <c r="N303" t="str">
        <f>"1206-2"</f>
        <v>1206-2</v>
      </c>
      <c r="O303" t="str">
        <f>"包"</f>
        <v>包</v>
      </c>
      <c r="P303" t="str">
        <f t="shared" si="85"/>
        <v>材料费</v>
      </c>
    </row>
    <row r="304" spans="1:16">
      <c r="A304" t="str">
        <f>"灭菌凡士林纱布"</f>
        <v>灭菌凡士林纱布</v>
      </c>
      <c r="B304" t="str">
        <f>"1206-3-66"</f>
        <v>1206-3-66</v>
      </c>
      <c r="C304" t="str">
        <f t="shared" si="83"/>
        <v>材料</v>
      </c>
      <c r="D304" t="str">
        <f>"C14090200000000056890000056"</f>
        <v>C14090200000000056890000056</v>
      </c>
      <c r="G304">
        <v>1.6</v>
      </c>
      <c r="I304" t="str">
        <f>"10*10"</f>
        <v>10*10</v>
      </c>
      <c r="K304" t="str">
        <f>"MJFSLSB"</f>
        <v>MJFSLSB</v>
      </c>
      <c r="L304" t="str">
        <f>"GAMFSXD"</f>
        <v>GAMFSXD</v>
      </c>
      <c r="M304">
        <v>2</v>
      </c>
      <c r="N304" t="str">
        <f>"1206-3-66"</f>
        <v>1206-3-66</v>
      </c>
      <c r="O304" t="str">
        <f t="shared" si="84"/>
        <v>片</v>
      </c>
      <c r="P304" t="str">
        <f t="shared" si="85"/>
        <v>材料费</v>
      </c>
    </row>
    <row r="305" spans="1:16">
      <c r="A305" t="str">
        <f>"水胶体敷料"</f>
        <v>水胶体敷料</v>
      </c>
      <c r="B305" t="str">
        <f>"1206-3.1"</f>
        <v>1206-3.1</v>
      </c>
      <c r="C305" t="str">
        <f t="shared" si="83"/>
        <v>材料</v>
      </c>
      <c r="G305">
        <v>28</v>
      </c>
      <c r="I305" t="str">
        <f>"10cmx10cmx0.4mm"</f>
        <v>10cmx10cmx0.4mm</v>
      </c>
      <c r="K305" t="str">
        <f>"SJTFL"</f>
        <v>SJTFL</v>
      </c>
      <c r="L305" t="str">
        <f>"IEWGO"</f>
        <v>IEWGO</v>
      </c>
      <c r="M305">
        <v>28</v>
      </c>
      <c r="O305" t="str">
        <f t="shared" si="84"/>
        <v>片</v>
      </c>
      <c r="P305" t="str">
        <f>"耗材费"</f>
        <v>耗材费</v>
      </c>
    </row>
    <row r="306" spans="1:16">
      <c r="A306" t="str">
        <f>"喷雾型医用创面液体保护膜"</f>
        <v>喷雾型医用创面液体保护膜</v>
      </c>
      <c r="B306" t="str">
        <f>"1206-4-3"</f>
        <v>1206-4-3</v>
      </c>
      <c r="C306" t="str">
        <f t="shared" si="83"/>
        <v>材料</v>
      </c>
      <c r="D306" t="str">
        <f>"C17010821602000086700000001"</f>
        <v>C17010821602000086700000001</v>
      </c>
      <c r="G306">
        <v>65</v>
      </c>
      <c r="I306" t="str">
        <f>"35ml"</f>
        <v>35ml</v>
      </c>
      <c r="K306" t="str">
        <f>"PWXYYCMYTBHM"</f>
        <v>PWXYYCMYTBHM</v>
      </c>
      <c r="L306" t="str">
        <f>"KFGAEWDIWWRE"</f>
        <v>KFGAEWDIWWRE</v>
      </c>
      <c r="M306">
        <v>77</v>
      </c>
      <c r="O306" t="str">
        <f>"瓶"</f>
        <v>瓶</v>
      </c>
      <c r="P306" t="str">
        <f t="shared" ref="P306:P308" si="86">"材料费"</f>
        <v>材料费</v>
      </c>
    </row>
    <row r="307" spans="1:16">
      <c r="A307" t="str">
        <f>"医用几丁糖液体敷料"</f>
        <v>医用几丁糖液体敷料</v>
      </c>
      <c r="B307" t="str">
        <f>"1206-4-4"</f>
        <v>1206-4-4</v>
      </c>
      <c r="C307" t="str">
        <f t="shared" si="83"/>
        <v>材料</v>
      </c>
      <c r="D307" t="str">
        <f>"C1701082160200005819"</f>
        <v>C1701082160200005819</v>
      </c>
      <c r="G307">
        <v>115</v>
      </c>
      <c r="I307" t="str">
        <f>"15ml"</f>
        <v>15ml</v>
      </c>
      <c r="K307" t="str">
        <f>"YYJDTYTFL"</f>
        <v>YYJDTYTFL</v>
      </c>
      <c r="L307" t="str">
        <f>"AEMSOIWGO"</f>
        <v>AEMSOIWGO</v>
      </c>
      <c r="M307">
        <v>127.95</v>
      </c>
      <c r="O307" t="str">
        <f>"瓶"</f>
        <v>瓶</v>
      </c>
      <c r="P307" t="str">
        <f t="shared" si="86"/>
        <v>材料费</v>
      </c>
    </row>
    <row r="308" spans="1:16">
      <c r="A308" t="str">
        <f>"纱布创面敷料"</f>
        <v>纱布创面敷料</v>
      </c>
      <c r="B308" t="str">
        <f>"1206-9-3"</f>
        <v>1206-9-3</v>
      </c>
      <c r="C308" t="str">
        <f t="shared" si="83"/>
        <v>材料</v>
      </c>
      <c r="G308">
        <v>42</v>
      </c>
      <c r="I308" t="str">
        <f>"6cmx4cm"</f>
        <v>6cmx4cm</v>
      </c>
      <c r="K308" t="str">
        <f>"SBCMFL"</f>
        <v>SBCMFL</v>
      </c>
      <c r="L308" t="str">
        <f>"XDWDGO"</f>
        <v>XDWDGO</v>
      </c>
      <c r="M308">
        <v>47</v>
      </c>
      <c r="O308" t="str">
        <f>"片"</f>
        <v>片</v>
      </c>
      <c r="P308" t="str">
        <f t="shared" si="86"/>
        <v>材料费</v>
      </c>
    </row>
    <row r="309" spans="1:16">
      <c r="A309" t="str">
        <f>"特大换药"</f>
        <v>特大换药</v>
      </c>
      <c r="B309">
        <v>120600001</v>
      </c>
      <c r="C309" t="str">
        <f t="shared" ref="C309:C312" si="87">"其他"</f>
        <v>其他</v>
      </c>
      <c r="D309" t="str">
        <f>"001206000010000"</f>
        <v>001206000010000</v>
      </c>
      <c r="G309">
        <v>39</v>
      </c>
      <c r="I309" t="str">
        <f t="shared" ref="I309:I312" si="88">"次"</f>
        <v>次</v>
      </c>
      <c r="K309" t="str">
        <f>"TDHY"</f>
        <v>TDHY</v>
      </c>
      <c r="L309" t="str">
        <f>"TDRA"</f>
        <v>TDRA</v>
      </c>
      <c r="M309">
        <v>39</v>
      </c>
      <c r="N309">
        <v>120600001</v>
      </c>
      <c r="O309" t="str">
        <f t="shared" ref="O309:O312" si="89">"次"</f>
        <v>次</v>
      </c>
      <c r="P309" t="str">
        <f t="shared" ref="P309:P312" si="90">"治疗费"</f>
        <v>治疗费</v>
      </c>
    </row>
    <row r="310" spans="1:16">
      <c r="A310" t="str">
        <f>"大换药"</f>
        <v>大换药</v>
      </c>
      <c r="B310">
        <v>120600002</v>
      </c>
      <c r="C310" t="str">
        <f t="shared" si="87"/>
        <v>其他</v>
      </c>
      <c r="D310" t="str">
        <f>"001206000020000"</f>
        <v>001206000020000</v>
      </c>
      <c r="G310">
        <v>26</v>
      </c>
      <c r="I310" t="str">
        <f t="shared" si="88"/>
        <v>次</v>
      </c>
      <c r="K310" t="str">
        <f>"DHY"</f>
        <v>DHY</v>
      </c>
      <c r="L310" t="str">
        <f>"DRA"</f>
        <v>DRA</v>
      </c>
      <c r="M310">
        <v>26</v>
      </c>
      <c r="N310">
        <v>120600002</v>
      </c>
      <c r="O310" t="str">
        <f t="shared" si="89"/>
        <v>次</v>
      </c>
      <c r="P310" t="str">
        <f t="shared" si="90"/>
        <v>治疗费</v>
      </c>
    </row>
    <row r="311" spans="1:16">
      <c r="A311" t="str">
        <f>"中换药"</f>
        <v>中换药</v>
      </c>
      <c r="B311">
        <v>120600003</v>
      </c>
      <c r="C311" t="str">
        <f t="shared" si="87"/>
        <v>其他</v>
      </c>
      <c r="D311" t="str">
        <f>"001206000030000"</f>
        <v>001206000030000</v>
      </c>
      <c r="G311">
        <v>13</v>
      </c>
      <c r="I311" t="str">
        <f t="shared" si="88"/>
        <v>次</v>
      </c>
      <c r="K311" t="str">
        <f>"ZHY"</f>
        <v>ZHY</v>
      </c>
      <c r="L311" t="str">
        <f>"KRA"</f>
        <v>KRA</v>
      </c>
      <c r="M311">
        <v>13</v>
      </c>
      <c r="N311">
        <v>120600003</v>
      </c>
      <c r="O311" t="str">
        <f t="shared" si="89"/>
        <v>次</v>
      </c>
      <c r="P311" t="str">
        <f t="shared" si="90"/>
        <v>治疗费</v>
      </c>
    </row>
    <row r="312" spans="1:16">
      <c r="A312" t="str">
        <f>"小换药"</f>
        <v>小换药</v>
      </c>
      <c r="B312">
        <v>120600004</v>
      </c>
      <c r="C312" t="str">
        <f t="shared" si="87"/>
        <v>其他</v>
      </c>
      <c r="D312" t="str">
        <f>"001206000040000"</f>
        <v>001206000040000</v>
      </c>
      <c r="G312">
        <v>7</v>
      </c>
      <c r="I312" t="str">
        <f t="shared" si="88"/>
        <v>次</v>
      </c>
      <c r="K312" t="str">
        <f>"XHY"</f>
        <v>XHY</v>
      </c>
      <c r="L312" t="str">
        <f>"IRA"</f>
        <v>IRA</v>
      </c>
      <c r="M312">
        <v>7</v>
      </c>
      <c r="N312">
        <v>120600004</v>
      </c>
      <c r="O312" t="str">
        <f t="shared" si="89"/>
        <v>次</v>
      </c>
      <c r="P312" t="str">
        <f t="shared" si="90"/>
        <v>治疗费</v>
      </c>
    </row>
    <row r="313" spans="1:16">
      <c r="A313" t="str">
        <f>"氧气雾化面罩"</f>
        <v>氧气雾化面罩</v>
      </c>
      <c r="B313" t="str">
        <f>"120700001-2-1"</f>
        <v>120700001-2-1</v>
      </c>
      <c r="C313" t="str">
        <f>"材料"</f>
        <v>材料</v>
      </c>
      <c r="D313" t="str">
        <f>"C1402011820000011105"</f>
        <v>C1402011820000011105</v>
      </c>
      <c r="G313">
        <v>24.8</v>
      </c>
      <c r="I313" t="str">
        <f>"维信"</f>
        <v>维信</v>
      </c>
      <c r="K313" t="str">
        <f>"YQWHMZ"</f>
        <v>YQWHMZ</v>
      </c>
      <c r="L313" t="str">
        <f>"RRFWDL"</f>
        <v>RRFWDL</v>
      </c>
      <c r="M313">
        <v>28.9</v>
      </c>
      <c r="O313" t="str">
        <f>"套"</f>
        <v>套</v>
      </c>
      <c r="P313" t="str">
        <f>"材料费"</f>
        <v>材料费</v>
      </c>
    </row>
    <row r="314" spans="1:16">
      <c r="A314" t="str">
        <f>"鼻饲管置管"</f>
        <v>鼻饲管置管</v>
      </c>
      <c r="B314">
        <v>120800001</v>
      </c>
      <c r="C314" t="str">
        <f t="shared" ref="C314:C318" si="91">"其他"</f>
        <v>其他</v>
      </c>
      <c r="D314" t="str">
        <f>"001208000010000"</f>
        <v>001208000010000</v>
      </c>
      <c r="G314">
        <v>13</v>
      </c>
      <c r="I314" t="str">
        <f t="shared" ref="I314:I318" si="92">"次"</f>
        <v>次</v>
      </c>
      <c r="K314" t="str">
        <f>"BSGZG"</f>
        <v>BSGZG</v>
      </c>
      <c r="L314" t="str">
        <f>"TQTLT"</f>
        <v>TQTLT</v>
      </c>
      <c r="M314">
        <v>13</v>
      </c>
      <c r="N314">
        <v>120800001</v>
      </c>
      <c r="O314" t="str">
        <f t="shared" ref="O314:O318" si="93">"次"</f>
        <v>次</v>
      </c>
      <c r="P314" t="str">
        <f t="shared" ref="P314:P318" si="94">"治疗费"</f>
        <v>治疗费</v>
      </c>
    </row>
    <row r="315" spans="1:16">
      <c r="A315" t="str">
        <f>"一次性使用胃管"</f>
        <v>一次性使用胃管</v>
      </c>
      <c r="B315" t="str">
        <f>"120800001-1-3"</f>
        <v>120800001-1-3</v>
      </c>
      <c r="C315" t="str">
        <f>"材料"</f>
        <v>材料</v>
      </c>
      <c r="G315">
        <v>34.1</v>
      </c>
      <c r="I315" t="str">
        <f>"普通胃管"</f>
        <v>普通胃管</v>
      </c>
      <c r="K315" t="str">
        <f>"YCXSYWG"</f>
        <v>YCXSYWG</v>
      </c>
      <c r="L315" t="str">
        <f>"GUNWELT"</f>
        <v>GUNWELT</v>
      </c>
      <c r="M315">
        <v>34.1</v>
      </c>
      <c r="O315" t="str">
        <f>"支"</f>
        <v>支</v>
      </c>
      <c r="P315" t="str">
        <f>"材料费"</f>
        <v>材料费</v>
      </c>
    </row>
    <row r="316" spans="1:16">
      <c r="A316" t="str">
        <f>"鼻饲管置管注食、注药加收"</f>
        <v>鼻饲管置管注食、注药加收</v>
      </c>
      <c r="B316" t="str">
        <f>"120800001-a"</f>
        <v>120800001-a</v>
      </c>
      <c r="C316" t="str">
        <f t="shared" si="91"/>
        <v>其他</v>
      </c>
      <c r="D316" t="str">
        <f>"001208000010000"</f>
        <v>001208000010000</v>
      </c>
      <c r="G316">
        <v>2.6</v>
      </c>
      <c r="I316" t="str">
        <f t="shared" si="92"/>
        <v>次</v>
      </c>
      <c r="K316" t="str">
        <f>"BSGZGZS、ZYJS"</f>
        <v>BSGZGZS、ZYJS</v>
      </c>
      <c r="L316" t="str">
        <f>"TQTLTIWIALN"</f>
        <v>TQTLTIWIALN</v>
      </c>
      <c r="M316">
        <v>2.6</v>
      </c>
      <c r="N316" t="str">
        <f>"120800001-a"</f>
        <v>120800001-a</v>
      </c>
      <c r="O316" t="str">
        <f t="shared" si="93"/>
        <v>次</v>
      </c>
      <c r="P316" t="str">
        <f>"其他护理费"</f>
        <v>其他护理费</v>
      </c>
    </row>
    <row r="317" spans="1:16">
      <c r="A317" t="str">
        <f>"胃肠减压"</f>
        <v>胃肠减压</v>
      </c>
      <c r="B317">
        <v>120900001</v>
      </c>
      <c r="C317" t="str">
        <f t="shared" si="91"/>
        <v>其他</v>
      </c>
      <c r="D317" t="str">
        <f>"001209000010000"</f>
        <v>001209000010000</v>
      </c>
      <c r="G317">
        <v>20</v>
      </c>
      <c r="I317" t="str">
        <f t="shared" si="92"/>
        <v>次</v>
      </c>
      <c r="K317" t="str">
        <f>"WCJY"</f>
        <v>WCJY</v>
      </c>
      <c r="L317" t="str">
        <f>"LEUD"</f>
        <v>LEUD</v>
      </c>
      <c r="M317">
        <v>20</v>
      </c>
      <c r="N317">
        <v>120900001</v>
      </c>
      <c r="O317" t="str">
        <f t="shared" si="93"/>
        <v>次</v>
      </c>
      <c r="P317" t="str">
        <f t="shared" si="94"/>
        <v>治疗费</v>
      </c>
    </row>
    <row r="318" spans="1:16">
      <c r="A318" t="str">
        <f>"洗胃"</f>
        <v>洗胃</v>
      </c>
      <c r="B318">
        <v>121000001</v>
      </c>
      <c r="C318" t="str">
        <f t="shared" si="91"/>
        <v>其他</v>
      </c>
      <c r="D318" t="str">
        <f>"001210000010000"</f>
        <v>001210000010000</v>
      </c>
      <c r="G318">
        <v>26</v>
      </c>
      <c r="I318" t="str">
        <f t="shared" si="92"/>
        <v>次</v>
      </c>
      <c r="K318" t="str">
        <f>"XW"</f>
        <v>XW</v>
      </c>
      <c r="L318" t="str">
        <f>"IL"</f>
        <v>IL</v>
      </c>
      <c r="M318">
        <v>26</v>
      </c>
      <c r="N318">
        <v>121000001</v>
      </c>
      <c r="O318" t="str">
        <f t="shared" si="93"/>
        <v>次</v>
      </c>
      <c r="P318" t="str">
        <f t="shared" si="94"/>
        <v>治疗费</v>
      </c>
    </row>
    <row r="319" spans="1:16">
      <c r="A319" t="str">
        <f>"灌洗胃管"</f>
        <v>灌洗胃管</v>
      </c>
      <c r="B319" t="str">
        <f>"121000001-1-1"</f>
        <v>121000001-1-1</v>
      </c>
      <c r="C319" t="str">
        <f>"材料"</f>
        <v>材料</v>
      </c>
      <c r="G319">
        <v>15</v>
      </c>
      <c r="I319" t="str">
        <f>"PVC，24、28、32FR"</f>
        <v>PVC，24、28、32FR</v>
      </c>
      <c r="K319" t="str">
        <f>"GXWG"</f>
        <v>GXWG</v>
      </c>
      <c r="L319" t="str">
        <f>"IILT"</f>
        <v>IILT</v>
      </c>
      <c r="M319">
        <v>19</v>
      </c>
      <c r="O319" t="str">
        <f>"根"</f>
        <v>根</v>
      </c>
      <c r="P319" t="str">
        <f>"材料费"</f>
        <v>材料费</v>
      </c>
    </row>
    <row r="320" spans="1:16">
      <c r="A320" t="str">
        <f>"一般物理降温"</f>
        <v>一般物理降温</v>
      </c>
      <c r="B320">
        <v>121100001</v>
      </c>
      <c r="C320" t="str">
        <f t="shared" ref="C320:C324" si="95">"其他"</f>
        <v>其他</v>
      </c>
      <c r="D320" t="str">
        <f>"001211000010000"</f>
        <v>001211000010000</v>
      </c>
      <c r="G320">
        <v>3</v>
      </c>
      <c r="I320" t="str">
        <f t="shared" ref="I320:I324" si="96">"次"</f>
        <v>次</v>
      </c>
      <c r="K320" t="str">
        <f>"YBWLJW"</f>
        <v>YBWLJW</v>
      </c>
      <c r="L320" t="str">
        <f>"GTTGBI"</f>
        <v>GTTGBI</v>
      </c>
      <c r="M320">
        <v>3</v>
      </c>
      <c r="N320">
        <v>121100001</v>
      </c>
      <c r="O320" t="str">
        <f t="shared" ref="O320:O324" si="97">"次"</f>
        <v>次</v>
      </c>
      <c r="P320" t="str">
        <f t="shared" ref="P320:P324" si="98">"治疗费"</f>
        <v>治疗费</v>
      </c>
    </row>
    <row r="321" spans="1:16">
      <c r="A321" t="str">
        <f>"特殊物理降温"</f>
        <v>特殊物理降温</v>
      </c>
      <c r="B321">
        <v>121100002</v>
      </c>
      <c r="C321" t="str">
        <f t="shared" si="95"/>
        <v>其他</v>
      </c>
      <c r="D321" t="str">
        <f>"001211000020000"</f>
        <v>001211000020000</v>
      </c>
      <c r="G321">
        <v>6.5</v>
      </c>
      <c r="I321" t="str">
        <f t="shared" si="96"/>
        <v>次</v>
      </c>
      <c r="K321" t="str">
        <f>"TSWLJW"</f>
        <v>TSWLJW</v>
      </c>
      <c r="L321" t="str">
        <f>"TGTGBI"</f>
        <v>TGTGBI</v>
      </c>
      <c r="M321">
        <v>6.5</v>
      </c>
      <c r="N321">
        <v>121100002</v>
      </c>
      <c r="O321" t="str">
        <f t="shared" si="97"/>
        <v>次</v>
      </c>
      <c r="P321" t="str">
        <f t="shared" si="98"/>
        <v>治疗费</v>
      </c>
    </row>
    <row r="322" spans="1:16">
      <c r="A322" t="str">
        <f>"坐浴"</f>
        <v>坐浴</v>
      </c>
      <c r="B322">
        <v>121200001</v>
      </c>
      <c r="C322" t="str">
        <f t="shared" si="95"/>
        <v>其他</v>
      </c>
      <c r="D322" t="str">
        <f>"001212000010000"</f>
        <v>001212000010000</v>
      </c>
      <c r="G322">
        <v>3.9</v>
      </c>
      <c r="I322" t="str">
        <f t="shared" si="96"/>
        <v>次</v>
      </c>
      <c r="K322" t="str">
        <f>"ZY"</f>
        <v>ZY</v>
      </c>
      <c r="L322" t="str">
        <f>"WI"</f>
        <v>WI</v>
      </c>
      <c r="M322">
        <v>3.9</v>
      </c>
      <c r="N322">
        <v>121200001</v>
      </c>
      <c r="O322" t="str">
        <f t="shared" si="97"/>
        <v>次</v>
      </c>
      <c r="P322" t="str">
        <f t="shared" si="98"/>
        <v>治疗费</v>
      </c>
    </row>
    <row r="323" spans="1:16">
      <c r="A323" t="str">
        <f>"冷热湿敷"</f>
        <v>冷热湿敷</v>
      </c>
      <c r="B323">
        <v>121300001</v>
      </c>
      <c r="C323" t="str">
        <f t="shared" si="95"/>
        <v>其他</v>
      </c>
      <c r="D323" t="str">
        <f>"001213000010000"</f>
        <v>001213000010000</v>
      </c>
      <c r="G323">
        <v>3.9</v>
      </c>
      <c r="I323" t="str">
        <f t="shared" si="96"/>
        <v>次</v>
      </c>
      <c r="K323" t="str">
        <f>"LRSF"</f>
        <v>LRSF</v>
      </c>
      <c r="L323" t="str">
        <f>"URIG"</f>
        <v>URIG</v>
      </c>
      <c r="M323">
        <v>3.9</v>
      </c>
      <c r="N323">
        <v>121300001</v>
      </c>
      <c r="O323" t="str">
        <f t="shared" si="97"/>
        <v>次</v>
      </c>
      <c r="P323" t="str">
        <f t="shared" si="98"/>
        <v>治疗费</v>
      </c>
    </row>
    <row r="324" spans="1:16">
      <c r="A324" t="str">
        <f>"引流管冲洗"</f>
        <v>引流管冲洗</v>
      </c>
      <c r="B324">
        <v>121400001</v>
      </c>
      <c r="C324" t="str">
        <f t="shared" si="95"/>
        <v>其他</v>
      </c>
      <c r="D324" t="str">
        <f>"001214000010000"</f>
        <v>001214000010000</v>
      </c>
      <c r="G324">
        <v>1.3</v>
      </c>
      <c r="I324" t="str">
        <f t="shared" si="96"/>
        <v>次</v>
      </c>
      <c r="K324" t="str">
        <f>"YLGCX"</f>
        <v>YLGCX</v>
      </c>
      <c r="L324" t="str">
        <f>"XITUI"</f>
        <v>XITUI</v>
      </c>
      <c r="M324">
        <v>1.3</v>
      </c>
      <c r="N324">
        <v>121400001</v>
      </c>
      <c r="O324" t="str">
        <f t="shared" si="97"/>
        <v>次</v>
      </c>
      <c r="P324" t="str">
        <f t="shared" si="98"/>
        <v>治疗费</v>
      </c>
    </row>
    <row r="325" spans="1:16">
      <c r="A325" t="str">
        <f>"负压引流器"</f>
        <v>负压引流器</v>
      </c>
      <c r="B325" t="str">
        <f>"121400001-1-1"</f>
        <v>121400001-1-1</v>
      </c>
      <c r="C325" t="str">
        <f>"材料"</f>
        <v>材料</v>
      </c>
      <c r="G325">
        <v>37</v>
      </c>
      <c r="I325" t="str">
        <f>"II型"</f>
        <v>II型</v>
      </c>
      <c r="K325" t="str">
        <f>"FYYLQ"</f>
        <v>FYYLQ</v>
      </c>
      <c r="L325" t="str">
        <f>"QDXIK"</f>
        <v>QDXIK</v>
      </c>
      <c r="M325">
        <v>37</v>
      </c>
      <c r="O325" t="str">
        <f>"个"</f>
        <v>个</v>
      </c>
      <c r="P325" t="str">
        <f>"材料费"</f>
        <v>材料费</v>
      </c>
    </row>
    <row r="326" spans="1:16">
      <c r="A326" t="str">
        <f>"更换引流装置加收"</f>
        <v>更换引流装置加收</v>
      </c>
      <c r="B326" t="str">
        <f>"121400001-a"</f>
        <v>121400001-a</v>
      </c>
      <c r="C326" t="str">
        <f t="shared" ref="C326:C329" si="99">"其他"</f>
        <v>其他</v>
      </c>
      <c r="D326" t="str">
        <f>"001214000010001"</f>
        <v>001214000010001</v>
      </c>
      <c r="G326">
        <v>2.6</v>
      </c>
      <c r="I326" t="str">
        <f t="shared" ref="I326:I329" si="100">"次"</f>
        <v>次</v>
      </c>
      <c r="K326" t="str">
        <f>"GHYLZZJS"</f>
        <v>GHYLZZJS</v>
      </c>
      <c r="L326" t="str">
        <f>"GRXIULLN"</f>
        <v>GRXIULLN</v>
      </c>
      <c r="M326">
        <v>2.6</v>
      </c>
      <c r="N326" t="str">
        <f>"121400001-a"</f>
        <v>121400001-a</v>
      </c>
      <c r="O326" t="str">
        <f t="shared" ref="O326:O329" si="101">"次"</f>
        <v>次</v>
      </c>
      <c r="P326" t="str">
        <f t="shared" ref="P326:P329" si="102">"治疗费"</f>
        <v>治疗费</v>
      </c>
    </row>
    <row r="327" spans="1:16">
      <c r="A327" t="str">
        <f>"灌肠"</f>
        <v>灌肠</v>
      </c>
      <c r="B327">
        <v>121500001</v>
      </c>
      <c r="C327" t="str">
        <f t="shared" si="99"/>
        <v>其他</v>
      </c>
      <c r="D327" t="str">
        <f>"001215000010000"</f>
        <v>001215000010000</v>
      </c>
      <c r="G327">
        <v>13</v>
      </c>
      <c r="I327" t="str">
        <f t="shared" si="100"/>
        <v>次</v>
      </c>
      <c r="K327" t="str">
        <f>"GC"</f>
        <v>GC</v>
      </c>
      <c r="L327" t="str">
        <f>"IE"</f>
        <v>IE</v>
      </c>
      <c r="M327">
        <v>13</v>
      </c>
      <c r="N327">
        <v>121500001</v>
      </c>
      <c r="O327" t="str">
        <f t="shared" si="101"/>
        <v>次</v>
      </c>
      <c r="P327" t="str">
        <f t="shared" si="102"/>
        <v>治疗费</v>
      </c>
    </row>
    <row r="328" spans="1:16">
      <c r="A328" t="str">
        <f>"清洁灌肠"</f>
        <v>清洁灌肠</v>
      </c>
      <c r="B328">
        <v>121500002</v>
      </c>
      <c r="C328" t="str">
        <f t="shared" si="99"/>
        <v>其他</v>
      </c>
      <c r="D328" t="str">
        <f>"001215000020000"</f>
        <v>001215000020000</v>
      </c>
      <c r="G328">
        <v>26</v>
      </c>
      <c r="I328" t="str">
        <f t="shared" si="100"/>
        <v>次</v>
      </c>
      <c r="K328" t="str">
        <f>"QJGC"</f>
        <v>QJGC</v>
      </c>
      <c r="L328" t="str">
        <f>"IIIE"</f>
        <v>IIIE</v>
      </c>
      <c r="M328">
        <v>26</v>
      </c>
      <c r="N328">
        <v>121500002</v>
      </c>
      <c r="O328" t="str">
        <f t="shared" si="101"/>
        <v>次</v>
      </c>
      <c r="P328" t="str">
        <f t="shared" si="102"/>
        <v>治疗费</v>
      </c>
    </row>
    <row r="329" spans="1:16">
      <c r="A329" t="str">
        <f>"导尿"</f>
        <v>导尿</v>
      </c>
      <c r="B329">
        <v>121600001</v>
      </c>
      <c r="C329" t="str">
        <f t="shared" si="99"/>
        <v>其他</v>
      </c>
      <c r="D329" t="str">
        <f>"001216000010000"</f>
        <v>001216000010000</v>
      </c>
      <c r="G329">
        <v>5.2</v>
      </c>
      <c r="I329" t="str">
        <f t="shared" si="100"/>
        <v>次</v>
      </c>
      <c r="K329" t="str">
        <f>"DN"</f>
        <v>DN</v>
      </c>
      <c r="L329" t="str">
        <f>"NN"</f>
        <v>NN</v>
      </c>
      <c r="M329">
        <v>5.2</v>
      </c>
      <c r="N329">
        <v>121600001</v>
      </c>
      <c r="O329" t="str">
        <f t="shared" si="101"/>
        <v>次</v>
      </c>
      <c r="P329" t="str">
        <f t="shared" si="102"/>
        <v>治疗费</v>
      </c>
    </row>
    <row r="330" spans="1:16">
      <c r="A330" t="str">
        <f>"一次性使用导尿包"</f>
        <v>一次性使用导尿包</v>
      </c>
      <c r="B330" t="str">
        <f>"121600001-1"</f>
        <v>121600001-1</v>
      </c>
      <c r="C330" t="str">
        <f>"材料"</f>
        <v>材料</v>
      </c>
      <c r="D330" t="str">
        <f>"C14171400000000056890000024"</f>
        <v>C14171400000000056890000024</v>
      </c>
      <c r="G330">
        <v>21</v>
      </c>
      <c r="I330" t="str">
        <f>"双腔 6F-30F"</f>
        <v>双腔 6F-30F</v>
      </c>
      <c r="K330" t="str">
        <f>"YCXSYDNB"</f>
        <v>YCXSYDNB</v>
      </c>
      <c r="L330" t="str">
        <f>"GUNWENNQ"</f>
        <v>GUNWENNQ</v>
      </c>
      <c r="M330">
        <v>27</v>
      </c>
      <c r="N330" t="str">
        <f>"121600001-1"</f>
        <v>121600001-1</v>
      </c>
      <c r="O330" t="str">
        <f>"套"</f>
        <v>套</v>
      </c>
      <c r="P330" t="str">
        <f>"材料费"</f>
        <v>材料费</v>
      </c>
    </row>
    <row r="331" spans="1:16">
      <c r="A331" t="str">
        <f>"留置导尿加收"</f>
        <v>留置导尿加收</v>
      </c>
      <c r="B331" t="str">
        <f>"121600001-a"</f>
        <v>121600001-a</v>
      </c>
      <c r="C331" t="str">
        <f t="shared" ref="C331:C333" si="103">"其他"</f>
        <v>其他</v>
      </c>
      <c r="D331" t="str">
        <f>"001216000010100"</f>
        <v>001216000010100</v>
      </c>
      <c r="G331">
        <v>1.3</v>
      </c>
      <c r="I331" t="str">
        <f>"日"</f>
        <v>日</v>
      </c>
      <c r="K331" t="str">
        <f>"LZDNJS"</f>
        <v>LZDNJS</v>
      </c>
      <c r="L331" t="str">
        <f>"QLNNLN"</f>
        <v>QLNNLN</v>
      </c>
      <c r="M331">
        <v>1.3</v>
      </c>
      <c r="N331" t="str">
        <f>"121600001-a"</f>
        <v>121600001-a</v>
      </c>
      <c r="O331" t="str">
        <f>"日"</f>
        <v>日</v>
      </c>
      <c r="P331" t="str">
        <f t="shared" ref="P331:P334" si="104">"治疗费"</f>
        <v>治疗费</v>
      </c>
    </row>
    <row r="332" spans="1:16">
      <c r="A332" t="str">
        <f>"肛管排气"</f>
        <v>肛管排气</v>
      </c>
      <c r="B332">
        <v>121700001</v>
      </c>
      <c r="C332" t="str">
        <f t="shared" si="103"/>
        <v>其他</v>
      </c>
      <c r="D332" t="str">
        <f>"001217000010000"</f>
        <v>001217000010000</v>
      </c>
      <c r="G332">
        <v>3.9</v>
      </c>
      <c r="I332" t="str">
        <f t="shared" ref="I332:I342" si="105">"次"</f>
        <v>次</v>
      </c>
      <c r="K332" t="str">
        <f>"GGPQ"</f>
        <v>GGPQ</v>
      </c>
      <c r="L332" t="str">
        <f>"ETRR"</f>
        <v>ETRR</v>
      </c>
      <c r="M332">
        <v>3.9</v>
      </c>
      <c r="N332">
        <v>121700001</v>
      </c>
      <c r="O332" t="str">
        <f t="shared" ref="O332:O344" si="106">"次"</f>
        <v>次</v>
      </c>
      <c r="P332" t="str">
        <f t="shared" si="104"/>
        <v>治疗费</v>
      </c>
    </row>
    <row r="333" spans="1:16">
      <c r="A333" t="str">
        <f>"婴幼儿健康体检"</f>
        <v>婴幼儿健康体检</v>
      </c>
      <c r="B333">
        <v>130100001</v>
      </c>
      <c r="C333" t="str">
        <f t="shared" si="103"/>
        <v>其他</v>
      </c>
      <c r="D333" t="str">
        <f>"001301000010000"</f>
        <v>001301000010000</v>
      </c>
      <c r="G333">
        <v>5</v>
      </c>
      <c r="I333">
        <v>1</v>
      </c>
      <c r="K333" t="str">
        <f>"YYEJKTJ"</f>
        <v>YYEJKTJ</v>
      </c>
      <c r="L333" t="str">
        <f>"MXQWYWS"</f>
        <v>MXQWYWS</v>
      </c>
      <c r="M333">
        <v>6</v>
      </c>
      <c r="N333">
        <v>130100001</v>
      </c>
      <c r="O333" t="str">
        <f>"每次"</f>
        <v>每次</v>
      </c>
      <c r="P333" t="str">
        <f>"体检费"</f>
        <v>体检费</v>
      </c>
    </row>
    <row r="334" spans="1:16">
      <c r="A334" t="str">
        <f>"儿童龋齿预防保健"</f>
        <v>儿童龋齿预防保健</v>
      </c>
      <c r="B334">
        <v>130200001</v>
      </c>
      <c r="C334" t="str">
        <f>"治疗"</f>
        <v>治疗</v>
      </c>
      <c r="D334" t="str">
        <f>"001302000010000"</f>
        <v>001302000010000</v>
      </c>
      <c r="G334">
        <v>1.2</v>
      </c>
      <c r="I334" t="str">
        <f t="shared" si="105"/>
        <v>次</v>
      </c>
      <c r="K334" t="str">
        <f>"ETQCYFBJ"</f>
        <v>ETQCYFBJ</v>
      </c>
      <c r="L334" t="str">
        <f>"QUHHCBWW"</f>
        <v>QUHHCBWW</v>
      </c>
      <c r="M334">
        <v>1.2</v>
      </c>
      <c r="N334">
        <v>130200001</v>
      </c>
      <c r="O334" t="str">
        <f t="shared" si="106"/>
        <v>次</v>
      </c>
      <c r="P334" t="str">
        <f t="shared" si="104"/>
        <v>治疗费</v>
      </c>
    </row>
    <row r="335" spans="1:16">
      <c r="A335" t="str">
        <f>"家庭巡诊"</f>
        <v>家庭巡诊</v>
      </c>
      <c r="B335">
        <v>130300001</v>
      </c>
      <c r="C335" t="str">
        <f t="shared" ref="C335:C348" si="107">"其他"</f>
        <v>其他</v>
      </c>
      <c r="D335" t="str">
        <f>"001303000010000"</f>
        <v>001303000010000</v>
      </c>
      <c r="G335">
        <v>20</v>
      </c>
      <c r="I335" t="str">
        <f t="shared" si="105"/>
        <v>次</v>
      </c>
      <c r="K335" t="str">
        <f>"JTXZ"</f>
        <v>JTXZ</v>
      </c>
      <c r="L335" t="str">
        <f>"PYVY"</f>
        <v>PYVY</v>
      </c>
      <c r="M335">
        <v>20</v>
      </c>
      <c r="N335">
        <v>130300001</v>
      </c>
      <c r="O335" t="str">
        <f t="shared" si="106"/>
        <v>次</v>
      </c>
      <c r="P335" t="str">
        <f t="shared" ref="P335:P342" si="108">"服务收入"</f>
        <v>服务收入</v>
      </c>
    </row>
    <row r="336" spans="1:16">
      <c r="A336" t="str">
        <f>"围产保健访视"</f>
        <v>围产保健访视</v>
      </c>
      <c r="B336">
        <v>130400001</v>
      </c>
      <c r="C336" t="str">
        <f t="shared" si="107"/>
        <v>其他</v>
      </c>
      <c r="D336" t="str">
        <f>"001304000010000"</f>
        <v>001304000010000</v>
      </c>
      <c r="G336">
        <v>10</v>
      </c>
      <c r="I336" t="str">
        <f t="shared" si="105"/>
        <v>次</v>
      </c>
      <c r="K336" t="str">
        <f>"WCBJFS"</f>
        <v>WCBJFS</v>
      </c>
      <c r="L336" t="str">
        <f>"LUWWYP"</f>
        <v>LUWWYP</v>
      </c>
      <c r="M336">
        <v>10</v>
      </c>
      <c r="N336">
        <v>130400001</v>
      </c>
      <c r="O336" t="str">
        <f t="shared" si="106"/>
        <v>次</v>
      </c>
      <c r="P336" t="str">
        <f t="shared" si="108"/>
        <v>服务收入</v>
      </c>
    </row>
    <row r="337" spans="1:16">
      <c r="A337" t="str">
        <f>"传染病访视"</f>
        <v>传染病访视</v>
      </c>
      <c r="B337">
        <v>130500001</v>
      </c>
      <c r="C337" t="str">
        <f t="shared" si="107"/>
        <v>其他</v>
      </c>
      <c r="D337" t="str">
        <f>"001305000010000"</f>
        <v>001305000010000</v>
      </c>
      <c r="G337">
        <v>10</v>
      </c>
      <c r="I337" t="str">
        <f t="shared" si="105"/>
        <v>次</v>
      </c>
      <c r="K337" t="str">
        <f>"CRBFS"</f>
        <v>CRBFS</v>
      </c>
      <c r="L337" t="str">
        <f>"WIUYP"</f>
        <v>WIUYP</v>
      </c>
      <c r="M337">
        <v>11</v>
      </c>
      <c r="N337">
        <v>130500001</v>
      </c>
      <c r="O337" t="str">
        <f t="shared" si="106"/>
        <v>次</v>
      </c>
      <c r="P337" t="str">
        <f t="shared" si="108"/>
        <v>服务收入</v>
      </c>
    </row>
    <row r="338" spans="1:16">
      <c r="A338" t="str">
        <f>"家庭病床建床费"</f>
        <v>家庭病床建床费</v>
      </c>
      <c r="B338">
        <v>130600001</v>
      </c>
      <c r="C338" t="str">
        <f t="shared" si="107"/>
        <v>其他</v>
      </c>
      <c r="D338" t="str">
        <f>"001306000010000"</f>
        <v>001306000010000</v>
      </c>
      <c r="G338">
        <v>52</v>
      </c>
      <c r="I338" t="str">
        <f t="shared" si="105"/>
        <v>次</v>
      </c>
      <c r="K338" t="str">
        <f>"JTBCJCF"</f>
        <v>JTBCJCF</v>
      </c>
      <c r="L338" t="str">
        <f>"PYUYVYX"</f>
        <v>PYUYVYX</v>
      </c>
      <c r="M338">
        <v>52</v>
      </c>
      <c r="N338">
        <v>130600001</v>
      </c>
      <c r="O338" t="str">
        <f t="shared" si="106"/>
        <v>次</v>
      </c>
      <c r="P338" t="str">
        <f t="shared" si="108"/>
        <v>服务收入</v>
      </c>
    </row>
    <row r="339" spans="1:16">
      <c r="A339" t="str">
        <f>"家庭病床巡诊费"</f>
        <v>家庭病床巡诊费</v>
      </c>
      <c r="B339">
        <v>130600002</v>
      </c>
      <c r="C339" t="str">
        <f t="shared" si="107"/>
        <v>其他</v>
      </c>
      <c r="D339" t="str">
        <f>"001306000020000"</f>
        <v>001306000020000</v>
      </c>
      <c r="G339">
        <v>32</v>
      </c>
      <c r="I339" t="str">
        <f t="shared" si="105"/>
        <v>次</v>
      </c>
      <c r="K339" t="str">
        <f>"JTBCXZF"</f>
        <v>JTBCXZF</v>
      </c>
      <c r="L339" t="str">
        <f>"PYUYVYX"</f>
        <v>PYUYVYX</v>
      </c>
      <c r="M339">
        <v>32</v>
      </c>
      <c r="N339">
        <v>130600002</v>
      </c>
      <c r="O339" t="str">
        <f t="shared" si="106"/>
        <v>次</v>
      </c>
      <c r="P339" t="str">
        <f t="shared" si="108"/>
        <v>服务收入</v>
      </c>
    </row>
    <row r="340" spans="1:16">
      <c r="A340" t="str">
        <f>"出诊费"</f>
        <v>出诊费</v>
      </c>
      <c r="B340">
        <v>130700001</v>
      </c>
      <c r="C340" t="str">
        <f t="shared" si="107"/>
        <v>其他</v>
      </c>
      <c r="D340" t="str">
        <f>"001307000010000"</f>
        <v>001307000010000</v>
      </c>
      <c r="G340">
        <v>40</v>
      </c>
      <c r="I340" t="str">
        <f t="shared" si="105"/>
        <v>次</v>
      </c>
      <c r="K340" t="str">
        <f>"CZ"</f>
        <v>CZ</v>
      </c>
      <c r="L340" t="str">
        <f>"BY"</f>
        <v>BY</v>
      </c>
      <c r="M340">
        <v>42</v>
      </c>
      <c r="N340">
        <v>130700001</v>
      </c>
      <c r="O340" t="str">
        <f t="shared" si="106"/>
        <v>次</v>
      </c>
      <c r="P340" t="str">
        <f t="shared" si="108"/>
        <v>服务收入</v>
      </c>
    </row>
    <row r="341" spans="1:16">
      <c r="A341" t="str">
        <f>"出诊费（副高以上职称）"</f>
        <v>出诊费（副高以上职称）</v>
      </c>
      <c r="B341" t="str">
        <f>"130700001-a"</f>
        <v>130700001-a</v>
      </c>
      <c r="C341" t="str">
        <f t="shared" si="107"/>
        <v>其他</v>
      </c>
      <c r="D341" t="str">
        <f>"001307000010001"</f>
        <v>001307000010001</v>
      </c>
      <c r="G341">
        <v>55</v>
      </c>
      <c r="I341" t="str">
        <f t="shared" si="105"/>
        <v>次</v>
      </c>
      <c r="K341" t="str">
        <f>"CZFGZCYS"</f>
        <v>CZFGZCYS</v>
      </c>
      <c r="L341" t="str">
        <f>"BYGYBTCH"</f>
        <v>BYGYBTCH</v>
      </c>
      <c r="M341">
        <v>57</v>
      </c>
      <c r="N341" t="str">
        <f>"130700001-a"</f>
        <v>130700001-a</v>
      </c>
      <c r="O341" t="str">
        <f t="shared" si="106"/>
        <v>次</v>
      </c>
      <c r="P341" t="str">
        <f t="shared" si="108"/>
        <v>服务收入</v>
      </c>
    </row>
    <row r="342" spans="1:16">
      <c r="A342" t="str">
        <f>"建立健康档案"</f>
        <v>建立健康档案</v>
      </c>
      <c r="B342">
        <v>130800001</v>
      </c>
      <c r="C342" t="str">
        <f t="shared" si="107"/>
        <v>其他</v>
      </c>
      <c r="D342" t="str">
        <f>"001308000010000"</f>
        <v>001308000010000</v>
      </c>
      <c r="G342">
        <v>2</v>
      </c>
      <c r="I342" t="str">
        <f t="shared" si="105"/>
        <v>次</v>
      </c>
      <c r="K342" t="str">
        <f>"JLJKDA"</f>
        <v>JLJKDA</v>
      </c>
      <c r="L342" t="str">
        <f>"VUWYSP"</f>
        <v>VUWYSP</v>
      </c>
      <c r="M342">
        <v>2.5</v>
      </c>
      <c r="N342">
        <v>130800001</v>
      </c>
      <c r="O342" t="str">
        <f t="shared" si="106"/>
        <v>次</v>
      </c>
      <c r="P342" t="str">
        <f t="shared" si="108"/>
        <v>服务收入</v>
      </c>
    </row>
    <row r="343" spans="1:16">
      <c r="A343" t="str">
        <f>"一般诊疗费"</f>
        <v>一般诊疗费</v>
      </c>
      <c r="B343">
        <v>1311</v>
      </c>
      <c r="C343" t="str">
        <f t="shared" si="107"/>
        <v>其他</v>
      </c>
      <c r="D343" t="str">
        <f>"001101000010000"</f>
        <v>001101000010000</v>
      </c>
      <c r="G343">
        <v>10</v>
      </c>
      <c r="I343">
        <v>1</v>
      </c>
      <c r="K343" t="str">
        <f>"YBZLF"</f>
        <v>YBZLF</v>
      </c>
      <c r="L343" t="str">
        <f>"GTYUX"</f>
        <v>GTYUX</v>
      </c>
      <c r="M343">
        <v>10</v>
      </c>
      <c r="N343">
        <v>1311</v>
      </c>
      <c r="O343" t="str">
        <f t="shared" si="106"/>
        <v>次</v>
      </c>
      <c r="P343" t="str">
        <f>"一般诊疗费"</f>
        <v>一般诊疗费</v>
      </c>
    </row>
    <row r="344" spans="1:16">
      <c r="A344" t="str">
        <f>"主任医师一般诊疗费"</f>
        <v>主任医师一般诊疗费</v>
      </c>
      <c r="B344">
        <v>131100001</v>
      </c>
      <c r="C344" t="str">
        <f t="shared" si="107"/>
        <v>其他</v>
      </c>
      <c r="D344" t="str">
        <f>"001102000010100"</f>
        <v>001102000010100</v>
      </c>
      <c r="G344">
        <v>23</v>
      </c>
      <c r="I344" t="str">
        <f>"次"</f>
        <v>次</v>
      </c>
      <c r="K344" t="str">
        <f>"ZRYSYBZLF"</f>
        <v>ZRYSYBZLF</v>
      </c>
      <c r="L344" t="str">
        <f>"YWAJGTYUX"</f>
        <v>YWAJGTYUX</v>
      </c>
      <c r="M344">
        <v>23</v>
      </c>
      <c r="N344">
        <v>131100001</v>
      </c>
      <c r="O344" t="str">
        <f t="shared" si="106"/>
        <v>次</v>
      </c>
      <c r="P344" t="str">
        <f>"诊查费"</f>
        <v>诊查费</v>
      </c>
    </row>
    <row r="345" spans="1:16">
      <c r="A345" t="str">
        <f>"副主任医师一般诊疗费"</f>
        <v>副主任医师一般诊疗费</v>
      </c>
      <c r="B345">
        <v>131100002</v>
      </c>
      <c r="C345" t="str">
        <f t="shared" si="107"/>
        <v>其他</v>
      </c>
      <c r="D345" t="str">
        <f>"001102000010200"</f>
        <v>001102000010200</v>
      </c>
      <c r="G345">
        <v>14</v>
      </c>
      <c r="I345" t="str">
        <f>"次"</f>
        <v>次</v>
      </c>
      <c r="K345" t="str">
        <f>"FZRYSYBZLF"</f>
        <v>FZRYSYBZLF</v>
      </c>
      <c r="L345" t="str">
        <f>"GYWAJGTYUX"</f>
        <v>GYWAJGTYUX</v>
      </c>
      <c r="M345">
        <v>14</v>
      </c>
      <c r="N345">
        <v>131100002</v>
      </c>
      <c r="O345" t="str">
        <f>"每次"</f>
        <v>每次</v>
      </c>
      <c r="P345" t="str">
        <f>"诊查费"</f>
        <v>诊查费</v>
      </c>
    </row>
    <row r="346" spans="1:16">
      <c r="A346" t="str">
        <f>"普通透视"</f>
        <v>普通透视</v>
      </c>
      <c r="B346">
        <v>210101001</v>
      </c>
      <c r="C346" t="str">
        <f t="shared" si="107"/>
        <v>其他</v>
      </c>
      <c r="D346" t="str">
        <f>"002101010010000"</f>
        <v>002101010010000</v>
      </c>
      <c r="G346">
        <v>5</v>
      </c>
      <c r="I346" t="str">
        <f>"每个部位"</f>
        <v>每个部位</v>
      </c>
      <c r="K346" t="str">
        <f>"PTTS"</f>
        <v>PTTS</v>
      </c>
      <c r="L346" t="str">
        <f>"UCTP"</f>
        <v>UCTP</v>
      </c>
      <c r="M346">
        <v>5</v>
      </c>
      <c r="N346">
        <v>210101001</v>
      </c>
      <c r="O346" t="str">
        <f>"每个部位"</f>
        <v>每个部位</v>
      </c>
      <c r="P346" t="str">
        <f t="shared" ref="P346:P348" si="109">"放射费"</f>
        <v>放射费</v>
      </c>
    </row>
    <row r="347" spans="1:16">
      <c r="A347" t="str">
        <f>"咬合片"</f>
        <v>咬合片</v>
      </c>
      <c r="B347">
        <v>210102009</v>
      </c>
      <c r="C347" t="str">
        <f t="shared" si="107"/>
        <v>其他</v>
      </c>
      <c r="D347" t="str">
        <f>"002101020090000"</f>
        <v>002101020090000</v>
      </c>
      <c r="G347">
        <v>3</v>
      </c>
      <c r="I347" t="str">
        <f>"片数"</f>
        <v>片数</v>
      </c>
      <c r="K347" t="str">
        <f>"YHP"</f>
        <v>YHP</v>
      </c>
      <c r="L347" t="str">
        <f>"KWT"</f>
        <v>KWT</v>
      </c>
      <c r="M347">
        <v>3</v>
      </c>
      <c r="N347">
        <v>210102009</v>
      </c>
      <c r="O347" t="str">
        <f>"片数"</f>
        <v>片数</v>
      </c>
      <c r="P347" t="str">
        <f t="shared" si="109"/>
        <v>放射费</v>
      </c>
    </row>
    <row r="348" spans="1:16">
      <c r="A348" t="str">
        <f>"咬合片进口胶片"</f>
        <v>咬合片进口胶片</v>
      </c>
      <c r="B348" t="str">
        <f>"210102009-a"</f>
        <v>210102009-a</v>
      </c>
      <c r="C348" t="str">
        <f t="shared" si="107"/>
        <v>其他</v>
      </c>
      <c r="D348" t="str">
        <f>"002101020090000"</f>
        <v>002101020090000</v>
      </c>
      <c r="G348">
        <v>20</v>
      </c>
      <c r="I348" t="str">
        <f>"片数"</f>
        <v>片数</v>
      </c>
      <c r="K348" t="str">
        <f>"YHP"</f>
        <v>YHP</v>
      </c>
      <c r="L348" t="str">
        <f>"KWT"</f>
        <v>KWT</v>
      </c>
      <c r="M348">
        <v>20</v>
      </c>
      <c r="N348" t="str">
        <f>"210102009-a"</f>
        <v>210102009-a</v>
      </c>
      <c r="O348" t="str">
        <f>"片数"</f>
        <v>片数</v>
      </c>
      <c r="P348" t="str">
        <f t="shared" si="109"/>
        <v>放射费</v>
      </c>
    </row>
    <row r="349" spans="1:16">
      <c r="A349" t="str">
        <f>"干式激光胶片"</f>
        <v>干式激光胶片</v>
      </c>
      <c r="B349" t="str">
        <f>"210102015-2"</f>
        <v>210102015-2</v>
      </c>
      <c r="C349" t="str">
        <f>"材料"</f>
        <v>材料</v>
      </c>
      <c r="D349" t="str">
        <f>"C14020225900006144550000001"</f>
        <v>C14020225900006144550000001</v>
      </c>
      <c r="G349">
        <v>19</v>
      </c>
      <c r="I349" t="str">
        <f>"11×14英寸"</f>
        <v>11×14英寸</v>
      </c>
      <c r="K349" t="str">
        <f>"GSJGJP"</f>
        <v>GSJGJP</v>
      </c>
      <c r="L349" t="str">
        <f>"FAIIET"</f>
        <v>FAIIET</v>
      </c>
      <c r="M349">
        <v>19</v>
      </c>
      <c r="N349" t="str">
        <f>"210102015-1"</f>
        <v>210102015-1</v>
      </c>
      <c r="O349" t="str">
        <f>"张"</f>
        <v>张</v>
      </c>
      <c r="P349" t="str">
        <f>"材料费"</f>
        <v>材料费</v>
      </c>
    </row>
    <row r="350" spans="1:16">
      <c r="A350" t="str">
        <f>"院外影像学会诊"</f>
        <v>院外影像学会诊</v>
      </c>
      <c r="B350">
        <v>210400001</v>
      </c>
      <c r="C350" t="str">
        <f>"其他"</f>
        <v>其他</v>
      </c>
      <c r="D350" t="str">
        <f>"002104000010000"</f>
        <v>002104000010000</v>
      </c>
      <c r="G350">
        <v>40</v>
      </c>
      <c r="I350" t="str">
        <f>"次"</f>
        <v>次</v>
      </c>
      <c r="K350" t="str">
        <f>"YWYXXHZ"</f>
        <v>YWYXXHZ</v>
      </c>
      <c r="L350" t="str">
        <f>"BQJWIWY"</f>
        <v>BQJWIWY</v>
      </c>
      <c r="M350">
        <v>40</v>
      </c>
      <c r="N350">
        <v>210400001</v>
      </c>
      <c r="O350" t="str">
        <f>"次"</f>
        <v>次</v>
      </c>
      <c r="P350" t="str">
        <f>"放射费"</f>
        <v>放射费</v>
      </c>
    </row>
    <row r="351" spans="1:16">
      <c r="A351" t="str">
        <f>"彩色胶片照相"</f>
        <v>彩色胶片照相</v>
      </c>
      <c r="B351">
        <v>220800006</v>
      </c>
      <c r="C351" t="str">
        <f>"其他"</f>
        <v>其他</v>
      </c>
      <c r="D351" t="str">
        <f>"002208000060000"</f>
        <v>002208000060000</v>
      </c>
      <c r="G351">
        <v>15</v>
      </c>
      <c r="I351" t="str">
        <f>"片"</f>
        <v>片</v>
      </c>
      <c r="K351" t="str">
        <f>"CSJPZX"</f>
        <v>CSJPZX</v>
      </c>
      <c r="L351" t="str">
        <f>"EQETJS"</f>
        <v>EQETJS</v>
      </c>
      <c r="M351">
        <v>15</v>
      </c>
      <c r="N351">
        <v>220800006</v>
      </c>
      <c r="O351" t="str">
        <f>"片"</f>
        <v>片</v>
      </c>
      <c r="P351" t="str">
        <f>"检查费"</f>
        <v>检查费</v>
      </c>
    </row>
    <row r="352" spans="1:16">
      <c r="A352" t="str">
        <f>"计算机图文报告"</f>
        <v>计算机图文报告</v>
      </c>
      <c r="B352">
        <v>220800008</v>
      </c>
      <c r="C352" t="str">
        <f>"检查"</f>
        <v>检查</v>
      </c>
      <c r="D352" t="str">
        <f>"002208000080000"</f>
        <v>002208000080000</v>
      </c>
      <c r="G352">
        <v>15</v>
      </c>
      <c r="I352" t="str">
        <f>"次"</f>
        <v>次</v>
      </c>
      <c r="K352" t="str">
        <f>"JSJTWBG"</f>
        <v>JSJTWBG</v>
      </c>
      <c r="L352" t="str">
        <f>"YTSLYRT"</f>
        <v>YTSLYRT</v>
      </c>
      <c r="M352">
        <v>15</v>
      </c>
      <c r="N352">
        <v>220800008</v>
      </c>
      <c r="O352" t="str">
        <f>"次"</f>
        <v>次</v>
      </c>
      <c r="P352" t="str">
        <f>"检查费"</f>
        <v>检查费</v>
      </c>
    </row>
    <row r="353" spans="1:16">
      <c r="A353" t="str">
        <f>"血红蛋白测定(Hb)"</f>
        <v>血红蛋白测定(Hb)</v>
      </c>
      <c r="B353">
        <v>250101001</v>
      </c>
      <c r="C353" t="str">
        <f t="shared" ref="C353:C416" si="110">"检验"</f>
        <v>检验</v>
      </c>
      <c r="D353" t="str">
        <f>"002501010010000"</f>
        <v>002501010010000</v>
      </c>
      <c r="G353">
        <v>1</v>
      </c>
      <c r="I353" t="str">
        <f t="shared" ref="I353:I355" si="111">"项"</f>
        <v>项</v>
      </c>
      <c r="K353" t="str">
        <f>"XHDBCD(HB)"</f>
        <v>XHDBCD(HB)</v>
      </c>
      <c r="L353" t="str">
        <f>"TXNRIP(hb)"</f>
        <v>TXNRIP(hb)</v>
      </c>
      <c r="M353">
        <v>1</v>
      </c>
      <c r="N353">
        <v>250101001</v>
      </c>
      <c r="O353" t="str">
        <f t="shared" ref="O353:O355" si="112">"项"</f>
        <v>项</v>
      </c>
      <c r="P353" t="str">
        <f t="shared" ref="P353:P416" si="113">"检验费"</f>
        <v>检验费</v>
      </c>
    </row>
    <row r="354" spans="1:16">
      <c r="A354" t="str">
        <f>"红细胞计数(RBC)"</f>
        <v>红细胞计数(RBC)</v>
      </c>
      <c r="B354">
        <v>250101002</v>
      </c>
      <c r="C354" t="str">
        <f t="shared" si="110"/>
        <v>检验</v>
      </c>
      <c r="D354" t="str">
        <f>"002501010020000"</f>
        <v>002501010020000</v>
      </c>
      <c r="G354">
        <v>1</v>
      </c>
      <c r="I354" t="str">
        <f t="shared" si="111"/>
        <v>项</v>
      </c>
      <c r="K354" t="str">
        <f>"HXBJS(RBC)"</f>
        <v>HXBJS(RBC)</v>
      </c>
      <c r="L354" t="str">
        <f>"XXEYO(rbc)"</f>
        <v>XXEYO(rbc)</v>
      </c>
      <c r="M354">
        <v>1</v>
      </c>
      <c r="N354">
        <v>250101002</v>
      </c>
      <c r="O354" t="str">
        <f t="shared" si="112"/>
        <v>项</v>
      </c>
      <c r="P354" t="str">
        <f t="shared" si="113"/>
        <v>检验费</v>
      </c>
    </row>
    <row r="355" spans="1:16">
      <c r="A355" t="str">
        <f>"红细胞比积测定(HCT)"</f>
        <v>红细胞比积测定(HCT)</v>
      </c>
      <c r="B355">
        <v>250101003</v>
      </c>
      <c r="C355" t="str">
        <f t="shared" si="110"/>
        <v>检验</v>
      </c>
      <c r="D355" t="str">
        <f>"002501010030000"</f>
        <v>002501010030000</v>
      </c>
      <c r="G355">
        <v>1</v>
      </c>
      <c r="I355" t="str">
        <f t="shared" si="111"/>
        <v>项</v>
      </c>
      <c r="K355" t="str">
        <f>"HXBBJCD(HCT)"</f>
        <v>HXBBJCD(HCT)</v>
      </c>
      <c r="L355" t="str">
        <f>"XXEXTIP(hct)"</f>
        <v>XXEXTIP(hct)</v>
      </c>
      <c r="M355">
        <v>1</v>
      </c>
      <c r="N355">
        <v>250101003</v>
      </c>
      <c r="O355" t="str">
        <f t="shared" si="112"/>
        <v>项</v>
      </c>
      <c r="P355" t="str">
        <f t="shared" si="113"/>
        <v>检验费</v>
      </c>
    </row>
    <row r="356" spans="1:16">
      <c r="A356" t="str">
        <f>"红细胞参数平均值测定"</f>
        <v>红细胞参数平均值测定</v>
      </c>
      <c r="B356">
        <v>250101004</v>
      </c>
      <c r="C356" t="str">
        <f t="shared" si="110"/>
        <v>检验</v>
      </c>
      <c r="D356" t="str">
        <f>"002501010040000"</f>
        <v>002501010040000</v>
      </c>
      <c r="G356">
        <v>2</v>
      </c>
      <c r="I356" t="str">
        <f>"次"</f>
        <v>次</v>
      </c>
      <c r="K356" t="str">
        <f>"HXBCSPJZCD"</f>
        <v>HXBCSPJZCD</v>
      </c>
      <c r="L356" t="str">
        <f>"XXECOGFWIP"</f>
        <v>XXECOGFWIP</v>
      </c>
      <c r="M356">
        <v>2</v>
      </c>
      <c r="N356">
        <v>250101004</v>
      </c>
      <c r="O356" t="str">
        <f>"次"</f>
        <v>次</v>
      </c>
      <c r="P356" t="str">
        <f t="shared" si="113"/>
        <v>检验费</v>
      </c>
    </row>
    <row r="357" spans="1:16">
      <c r="A357" t="str">
        <f>"网织红细胞计数(Ret)"</f>
        <v>网织红细胞计数(Ret)</v>
      </c>
      <c r="B357">
        <v>250101005</v>
      </c>
      <c r="C357" t="str">
        <f t="shared" si="110"/>
        <v>检验</v>
      </c>
      <c r="D357" t="str">
        <f>"002501010050000"</f>
        <v>002501010050000</v>
      </c>
      <c r="G357">
        <v>1</v>
      </c>
      <c r="I357" t="str">
        <f t="shared" ref="I357:I365" si="114">"项"</f>
        <v>项</v>
      </c>
      <c r="K357" t="str">
        <f>"WZHXBJS(RET)"</f>
        <v>WZHXBJS(RET)</v>
      </c>
      <c r="L357" t="str">
        <f>"MXXXEYO(ret)"</f>
        <v>MXXXEYO(ret)</v>
      </c>
      <c r="M357">
        <v>1</v>
      </c>
      <c r="N357">
        <v>250101005</v>
      </c>
      <c r="O357" t="str">
        <f t="shared" ref="O357:O365" si="115">"项"</f>
        <v>项</v>
      </c>
      <c r="P357" t="str">
        <f t="shared" si="113"/>
        <v>检验费</v>
      </c>
    </row>
    <row r="358" spans="1:16">
      <c r="A358" t="str">
        <f>"异常红细胞形态检查"</f>
        <v>异常红细胞形态检查</v>
      </c>
      <c r="B358">
        <v>250101007</v>
      </c>
      <c r="C358" t="str">
        <f t="shared" si="110"/>
        <v>检验</v>
      </c>
      <c r="D358" t="str">
        <f>"002501010070000"</f>
        <v>002501010070000</v>
      </c>
      <c r="G358">
        <v>2</v>
      </c>
      <c r="I358" t="str">
        <f t="shared" si="114"/>
        <v>项</v>
      </c>
      <c r="K358" t="str">
        <f>"YCHXBXTJC"</f>
        <v>YCHXBXTJC</v>
      </c>
      <c r="L358" t="str">
        <f>"NIXXEGDSS"</f>
        <v>NIXXEGDSS</v>
      </c>
      <c r="M358">
        <v>2</v>
      </c>
      <c r="N358">
        <v>250101007</v>
      </c>
      <c r="O358" t="str">
        <f t="shared" si="115"/>
        <v>项</v>
      </c>
      <c r="P358" t="str">
        <f t="shared" si="113"/>
        <v>检验费</v>
      </c>
    </row>
    <row r="359" spans="1:16">
      <c r="A359" t="str">
        <f>"红细胞沉降率测定(ESR)(仪器法)"</f>
        <v>红细胞沉降率测定(ESR)(仪器法)</v>
      </c>
      <c r="B359" t="str">
        <f>"250101008-a"</f>
        <v>250101008-a</v>
      </c>
      <c r="C359" t="str">
        <f t="shared" si="110"/>
        <v>检验</v>
      </c>
      <c r="D359" t="str">
        <f>"002501010080000"</f>
        <v>002501010080000</v>
      </c>
      <c r="G359">
        <v>7</v>
      </c>
      <c r="I359" t="str">
        <f>"-"</f>
        <v>-</v>
      </c>
      <c r="K359" t="str">
        <f>"HXBCJLCDESRYQF"</f>
        <v>HXBCJLCDESRYQF</v>
      </c>
      <c r="L359" t="str">
        <f>"XXEIBYIPESRWKI"</f>
        <v>XXEIBYIPESRWKI</v>
      </c>
      <c r="M359">
        <v>7</v>
      </c>
      <c r="N359" t="str">
        <f>"250101008-a"</f>
        <v>250101008-a</v>
      </c>
      <c r="O359" t="str">
        <f>"次"</f>
        <v>次</v>
      </c>
      <c r="P359" t="str">
        <f t="shared" si="113"/>
        <v>检验费</v>
      </c>
    </row>
    <row r="360" spans="1:16">
      <c r="A360" t="str">
        <f>"白细胞计数(WBC)"</f>
        <v>白细胞计数(WBC)</v>
      </c>
      <c r="B360">
        <v>250101009</v>
      </c>
      <c r="C360" t="str">
        <f t="shared" si="110"/>
        <v>检验</v>
      </c>
      <c r="D360" t="str">
        <f>"002501010090000"</f>
        <v>002501010090000</v>
      </c>
      <c r="G360">
        <v>1</v>
      </c>
      <c r="I360" t="str">
        <f t="shared" si="114"/>
        <v>项</v>
      </c>
      <c r="K360" t="str">
        <f>"BXBJS(WBC)"</f>
        <v>BXBJS(WBC)</v>
      </c>
      <c r="L360" t="str">
        <f>"RXEYO(wbc)"</f>
        <v>RXEYO(wbc)</v>
      </c>
      <c r="M360">
        <v>1</v>
      </c>
      <c r="N360">
        <v>250101009</v>
      </c>
      <c r="O360" t="str">
        <f t="shared" si="115"/>
        <v>项</v>
      </c>
      <c r="P360" t="str">
        <f t="shared" si="113"/>
        <v>检验费</v>
      </c>
    </row>
    <row r="361" spans="1:16">
      <c r="A361" t="str">
        <f>"白细胞分类计数(DC)"</f>
        <v>白细胞分类计数(DC)</v>
      </c>
      <c r="B361">
        <v>250101010</v>
      </c>
      <c r="C361" t="str">
        <f t="shared" si="110"/>
        <v>检验</v>
      </c>
      <c r="D361" t="str">
        <f>"002501010100000"</f>
        <v>002501010100000</v>
      </c>
      <c r="G361" t="str">
        <f>"0.5"</f>
        <v>0.5</v>
      </c>
      <c r="I361" t="str">
        <f t="shared" si="114"/>
        <v>项</v>
      </c>
      <c r="K361" t="str">
        <f>"BXBFLJS(DC)"</f>
        <v>BXBFLJS(DC)</v>
      </c>
      <c r="L361" t="str">
        <f>"RXEWOYO(dc)"</f>
        <v>RXEWOYO(dc)</v>
      </c>
      <c r="M361" t="str">
        <f>"0.5"</f>
        <v>0.5</v>
      </c>
      <c r="N361">
        <v>250101010</v>
      </c>
      <c r="O361" t="str">
        <f t="shared" si="115"/>
        <v>项</v>
      </c>
      <c r="P361" t="str">
        <f t="shared" si="113"/>
        <v>检验费</v>
      </c>
    </row>
    <row r="362" spans="1:16">
      <c r="A362" t="str">
        <f>"粒细胞计数"</f>
        <v>粒细胞计数</v>
      </c>
      <c r="B362">
        <v>250101011</v>
      </c>
      <c r="C362" t="str">
        <f t="shared" si="110"/>
        <v>检验</v>
      </c>
      <c r="D362" t="str">
        <f>"002501010110000"</f>
        <v>002501010110000</v>
      </c>
      <c r="G362">
        <v>1</v>
      </c>
      <c r="I362" t="str">
        <f t="shared" si="114"/>
        <v>项</v>
      </c>
      <c r="K362" t="str">
        <f>"LXBJS"</f>
        <v>LXBJS</v>
      </c>
      <c r="L362" t="str">
        <f>"OXEYO"</f>
        <v>OXEYO</v>
      </c>
      <c r="M362">
        <v>5</v>
      </c>
      <c r="O362" t="str">
        <f t="shared" si="115"/>
        <v>项</v>
      </c>
      <c r="P362" t="str">
        <f t="shared" si="113"/>
        <v>检验费</v>
      </c>
    </row>
    <row r="363" spans="1:16">
      <c r="A363" t="str">
        <f>"异常白细胞形态检查"</f>
        <v>异常白细胞形态检查</v>
      </c>
      <c r="B363">
        <v>250101012</v>
      </c>
      <c r="C363" t="str">
        <f t="shared" si="110"/>
        <v>检验</v>
      </c>
      <c r="D363" t="str">
        <f>"002501010120000"</f>
        <v>002501010120000</v>
      </c>
      <c r="G363">
        <v>2</v>
      </c>
      <c r="I363" t="str">
        <f t="shared" si="114"/>
        <v>项</v>
      </c>
      <c r="K363" t="str">
        <f>"YCBXBXTJC"</f>
        <v>YCBXBXTJC</v>
      </c>
      <c r="L363" t="str">
        <f>"NIRXEGDSS"</f>
        <v>NIRXEGDSS</v>
      </c>
      <c r="M363">
        <v>2</v>
      </c>
      <c r="N363">
        <v>250101012</v>
      </c>
      <c r="O363" t="str">
        <f t="shared" si="115"/>
        <v>项</v>
      </c>
      <c r="P363" t="str">
        <f t="shared" si="113"/>
        <v>检验费</v>
      </c>
    </row>
    <row r="364" spans="1:16">
      <c r="A364" t="str">
        <f>"血小板计数"</f>
        <v>血小板计数</v>
      </c>
      <c r="B364">
        <v>250101014</v>
      </c>
      <c r="C364" t="str">
        <f t="shared" si="110"/>
        <v>检验</v>
      </c>
      <c r="D364" t="str">
        <f>"002501010140000"</f>
        <v>002501010140000</v>
      </c>
      <c r="G364">
        <v>1</v>
      </c>
      <c r="I364" t="str">
        <f t="shared" si="114"/>
        <v>项</v>
      </c>
      <c r="K364" t="str">
        <f>"XXBJS"</f>
        <v>XXBJS</v>
      </c>
      <c r="L364" t="str">
        <f>"TISYO"</f>
        <v>TISYO</v>
      </c>
      <c r="M364">
        <v>1</v>
      </c>
      <c r="N364">
        <v>250101014</v>
      </c>
      <c r="O364" t="str">
        <f t="shared" si="115"/>
        <v>项</v>
      </c>
      <c r="P364" t="str">
        <f t="shared" si="113"/>
        <v>检验费</v>
      </c>
    </row>
    <row r="365" spans="1:16">
      <c r="A365" t="str">
        <f>"血细胞分析（手工法）"</f>
        <v>血细胞分析（手工法）</v>
      </c>
      <c r="B365">
        <v>250101015</v>
      </c>
      <c r="C365" t="str">
        <f t="shared" si="110"/>
        <v>检验</v>
      </c>
      <c r="D365" t="str">
        <f>"002501010150000"</f>
        <v>002501010150000</v>
      </c>
      <c r="G365">
        <v>2</v>
      </c>
      <c r="I365" t="str">
        <f t="shared" si="114"/>
        <v>项</v>
      </c>
      <c r="K365" t="str">
        <f>"XXBFX（SGF）"</f>
        <v>XXBFX（SGF）</v>
      </c>
      <c r="L365" t="str">
        <f>"TXEWSRAI"</f>
        <v>TXEWSRAI</v>
      </c>
      <c r="M365">
        <v>2</v>
      </c>
      <c r="N365">
        <v>250101015</v>
      </c>
      <c r="O365" t="str">
        <f t="shared" si="115"/>
        <v>项</v>
      </c>
      <c r="P365" t="str">
        <f t="shared" si="113"/>
        <v>检验费</v>
      </c>
    </row>
    <row r="366" spans="1:16">
      <c r="A366" t="str">
        <f>"血细胞分析（五分类）"</f>
        <v>血细胞分析（五分类）</v>
      </c>
      <c r="B366" t="str">
        <f>"250101015-b"</f>
        <v>250101015-b</v>
      </c>
      <c r="C366" t="str">
        <f t="shared" si="110"/>
        <v>检验</v>
      </c>
      <c r="D366" t="str">
        <f>"002501010150000"</f>
        <v>002501010150000</v>
      </c>
      <c r="G366">
        <v>18</v>
      </c>
      <c r="I366" t="str">
        <f t="shared" ref="I366:I368" si="116">"次"</f>
        <v>次</v>
      </c>
      <c r="K366" t="str">
        <f>"XXBFXWFL"</f>
        <v>XXBFXWFL</v>
      </c>
      <c r="L366" t="str">
        <f>"TXEWSGWO"</f>
        <v>TXEWSGWO</v>
      </c>
      <c r="M366">
        <v>18</v>
      </c>
      <c r="N366" t="str">
        <f>"250101015-b"</f>
        <v>250101015-b</v>
      </c>
      <c r="O366" t="str">
        <f t="shared" ref="O366:O368" si="117">"次"</f>
        <v>次</v>
      </c>
      <c r="P366" t="str">
        <f t="shared" si="113"/>
        <v>检验费</v>
      </c>
    </row>
    <row r="367" spans="1:16">
      <c r="A367" t="str">
        <f>"尿液分析使用抗维生素C试剂条加收"</f>
        <v>尿液分析使用抗维生素C试剂条加收</v>
      </c>
      <c r="B367">
        <v>250102</v>
      </c>
      <c r="C367" t="str">
        <f t="shared" si="110"/>
        <v>检验</v>
      </c>
      <c r="D367" t="str">
        <f>"002501020350000"</f>
        <v>002501020350000</v>
      </c>
      <c r="G367">
        <v>2</v>
      </c>
      <c r="I367" t="str">
        <f t="shared" si="116"/>
        <v>次</v>
      </c>
      <c r="K367" t="str">
        <f>"NYFXSYKWSSCSJTJS"</f>
        <v>NYFXSYKWSSCSJTJS</v>
      </c>
      <c r="L367" t="str">
        <f>"NIWSWERXTGCYYTLN"</f>
        <v>NIWSWERXTGCYYTLN</v>
      </c>
      <c r="M367">
        <v>2</v>
      </c>
      <c r="O367" t="str">
        <f t="shared" si="117"/>
        <v>次</v>
      </c>
      <c r="P367" t="str">
        <f t="shared" si="113"/>
        <v>检验费</v>
      </c>
    </row>
    <row r="368" spans="1:16">
      <c r="A368" t="str">
        <f>"尿常规镜检"</f>
        <v>尿常规镜检</v>
      </c>
      <c r="B368">
        <v>250102001</v>
      </c>
      <c r="C368" t="str">
        <f t="shared" si="110"/>
        <v>检验</v>
      </c>
      <c r="D368" t="str">
        <f>"002501020010000"</f>
        <v>002501020010000</v>
      </c>
      <c r="G368">
        <v>1</v>
      </c>
      <c r="I368" t="str">
        <f t="shared" si="116"/>
        <v>次</v>
      </c>
      <c r="K368" t="str">
        <f>"NCGJJ"</f>
        <v>NCGJJ</v>
      </c>
      <c r="L368" t="str">
        <f>"NIFQS"</f>
        <v>NIFQS</v>
      </c>
      <c r="M368">
        <v>1</v>
      </c>
      <c r="N368">
        <v>250102001</v>
      </c>
      <c r="O368" t="str">
        <f t="shared" si="117"/>
        <v>次</v>
      </c>
      <c r="P368" t="str">
        <f t="shared" si="113"/>
        <v>检验费</v>
      </c>
    </row>
    <row r="369" spans="1:16">
      <c r="A369" t="str">
        <f>"尿酸碱度测定"</f>
        <v>尿酸碱度测定</v>
      </c>
      <c r="B369">
        <v>250102002</v>
      </c>
      <c r="C369" t="str">
        <f t="shared" si="110"/>
        <v>检验</v>
      </c>
      <c r="D369" t="str">
        <f>"002501020020000"</f>
        <v>002501020020000</v>
      </c>
      <c r="G369" t="str">
        <f t="shared" ref="G369:G372" si="118">"0.5"</f>
        <v>0.5</v>
      </c>
      <c r="I369">
        <v>1</v>
      </c>
      <c r="K369" t="str">
        <f>"NSJDCD"</f>
        <v>NSJDCD</v>
      </c>
      <c r="L369" t="str">
        <f>"NSDYIP"</f>
        <v>NSDYIP</v>
      </c>
      <c r="M369" t="str">
        <f t="shared" ref="M369:M372" si="119">"0.5"</f>
        <v>0.5</v>
      </c>
      <c r="N369">
        <v>250102002</v>
      </c>
      <c r="O369" t="str">
        <f>"每次"</f>
        <v>每次</v>
      </c>
      <c r="P369" t="str">
        <f t="shared" si="113"/>
        <v>检验费</v>
      </c>
    </row>
    <row r="370" spans="1:16">
      <c r="A370" t="str">
        <f>"尿比重测定"</f>
        <v>尿比重测定</v>
      </c>
      <c r="B370">
        <v>250102003</v>
      </c>
      <c r="C370" t="str">
        <f t="shared" si="110"/>
        <v>检验</v>
      </c>
      <c r="D370" t="str">
        <f>"002501020030000"</f>
        <v>002501020030000</v>
      </c>
      <c r="G370" t="str">
        <f t="shared" si="118"/>
        <v>0.5</v>
      </c>
      <c r="I370">
        <v>1</v>
      </c>
      <c r="K370" t="str">
        <f>"NBCCD"</f>
        <v>NBCCD</v>
      </c>
      <c r="L370" t="str">
        <f>"NXTIP"</f>
        <v>NXTIP</v>
      </c>
      <c r="M370" t="str">
        <f t="shared" si="119"/>
        <v>0.5</v>
      </c>
      <c r="N370">
        <v>250102003</v>
      </c>
      <c r="O370" t="str">
        <f>"次"</f>
        <v>次</v>
      </c>
      <c r="P370" t="str">
        <f t="shared" si="113"/>
        <v>检验费</v>
      </c>
    </row>
    <row r="371" spans="1:16">
      <c r="A371" t="str">
        <f>"渗透压检查"</f>
        <v>渗透压检查</v>
      </c>
      <c r="B371">
        <v>250102004</v>
      </c>
      <c r="C371" t="str">
        <f t="shared" si="110"/>
        <v>检验</v>
      </c>
      <c r="D371" t="str">
        <f>"002501020040000"</f>
        <v>002501020040000</v>
      </c>
      <c r="G371">
        <v>3</v>
      </c>
      <c r="I371" t="str">
        <f t="shared" ref="I371:I383" si="120">"项"</f>
        <v>项</v>
      </c>
      <c r="K371" t="str">
        <f>"STYJC"</f>
        <v>STYJC</v>
      </c>
      <c r="L371" t="str">
        <f>"ITDSS"</f>
        <v>ITDSS</v>
      </c>
      <c r="M371">
        <v>3</v>
      </c>
      <c r="N371">
        <v>250102004</v>
      </c>
      <c r="O371" t="str">
        <f t="shared" ref="O371:O383" si="121">"项"</f>
        <v>项</v>
      </c>
      <c r="P371" t="str">
        <f t="shared" si="113"/>
        <v>检验费</v>
      </c>
    </row>
    <row r="372" spans="1:16">
      <c r="A372" t="str">
        <f>"尿蛋白定性"</f>
        <v>尿蛋白定性</v>
      </c>
      <c r="B372">
        <v>250102005</v>
      </c>
      <c r="C372" t="str">
        <f t="shared" si="110"/>
        <v>检验</v>
      </c>
      <c r="D372" t="str">
        <f>"002501020050000"</f>
        <v>002501020050000</v>
      </c>
      <c r="G372" t="str">
        <f t="shared" si="118"/>
        <v>0.5</v>
      </c>
      <c r="I372">
        <v>1</v>
      </c>
      <c r="K372" t="str">
        <f>"NDBDX"</f>
        <v>NDBDX</v>
      </c>
      <c r="L372" t="str">
        <f>"NNRPN"</f>
        <v>NNRPN</v>
      </c>
      <c r="M372" t="str">
        <f t="shared" si="119"/>
        <v>0.5</v>
      </c>
      <c r="N372">
        <v>250102005</v>
      </c>
      <c r="O372" t="str">
        <f>"次"</f>
        <v>次</v>
      </c>
      <c r="P372" t="str">
        <f t="shared" si="113"/>
        <v>检验费</v>
      </c>
    </row>
    <row r="373" spans="1:16">
      <c r="A373" t="str">
        <f>"尿蛋白定量(各种化学方法)"</f>
        <v>尿蛋白定量(各种化学方法)</v>
      </c>
      <c r="B373" t="str">
        <f>"250102006-a"</f>
        <v>250102006-a</v>
      </c>
      <c r="C373" t="str">
        <f t="shared" si="110"/>
        <v>检验</v>
      </c>
      <c r="D373" t="str">
        <f>"002501020060000"</f>
        <v>002501020060000</v>
      </c>
      <c r="G373">
        <v>3</v>
      </c>
      <c r="I373">
        <v>1</v>
      </c>
      <c r="K373" t="str">
        <f>"NDBDL(GZHXFF)"</f>
        <v>NDBDL(GZHXFF)</v>
      </c>
      <c r="L373" t="str">
        <f>"NNRPJTTWIYI"</f>
        <v>NNRPJTTWIYI</v>
      </c>
      <c r="M373">
        <v>3</v>
      </c>
      <c r="N373" t="str">
        <f>"250102006-a"</f>
        <v>250102006-a</v>
      </c>
      <c r="O373" t="str">
        <f t="shared" si="121"/>
        <v>项</v>
      </c>
      <c r="P373" t="str">
        <f t="shared" si="113"/>
        <v>检验费</v>
      </c>
    </row>
    <row r="374" spans="1:16">
      <c r="A374" t="str">
        <f>"尿糖定性试验"</f>
        <v>尿糖定性试验</v>
      </c>
      <c r="B374">
        <v>250102010</v>
      </c>
      <c r="C374" t="str">
        <f t="shared" si="110"/>
        <v>检验</v>
      </c>
      <c r="D374" t="str">
        <f>"002501020100000"</f>
        <v>002501020100000</v>
      </c>
      <c r="G374" t="str">
        <f>"0.5"</f>
        <v>0.5</v>
      </c>
      <c r="I374" t="str">
        <f t="shared" si="120"/>
        <v>项</v>
      </c>
      <c r="K374" t="str">
        <f>"NTDXSY"</f>
        <v>NTDXSY</v>
      </c>
      <c r="L374" t="str">
        <f>"NOPNYC"</f>
        <v>NOPNYC</v>
      </c>
      <c r="M374" t="str">
        <f>"0.5"</f>
        <v>0.5</v>
      </c>
      <c r="N374">
        <v>250102010</v>
      </c>
      <c r="O374" t="str">
        <f t="shared" si="121"/>
        <v>项</v>
      </c>
      <c r="P374" t="str">
        <f t="shared" si="113"/>
        <v>检验费</v>
      </c>
    </row>
    <row r="375" spans="1:16">
      <c r="A375" t="str">
        <f>"尿糖定量测定"</f>
        <v>尿糖定量测定</v>
      </c>
      <c r="B375">
        <v>250102011</v>
      </c>
      <c r="C375" t="str">
        <f t="shared" si="110"/>
        <v>检验</v>
      </c>
      <c r="D375" t="str">
        <f>"002501020110000"</f>
        <v>002501020110000</v>
      </c>
      <c r="G375">
        <v>3</v>
      </c>
      <c r="I375" t="str">
        <f t="shared" si="120"/>
        <v>项</v>
      </c>
      <c r="K375" t="str">
        <f>"NTDLCD"</f>
        <v>NTDLCD</v>
      </c>
      <c r="L375" t="str">
        <f>"NOPJIP"</f>
        <v>NOPJIP</v>
      </c>
      <c r="M375">
        <v>3</v>
      </c>
      <c r="N375">
        <v>250102011</v>
      </c>
      <c r="O375" t="str">
        <f t="shared" si="121"/>
        <v>项</v>
      </c>
      <c r="P375" t="str">
        <f t="shared" si="113"/>
        <v>检验费</v>
      </c>
    </row>
    <row r="376" spans="1:16">
      <c r="A376" t="str">
        <f>"尿酮体定性试验"</f>
        <v>尿酮体定性试验</v>
      </c>
      <c r="B376">
        <v>250102012</v>
      </c>
      <c r="C376" t="str">
        <f t="shared" si="110"/>
        <v>检验</v>
      </c>
      <c r="D376" t="str">
        <f>"002501020120000"</f>
        <v>002501020120000</v>
      </c>
      <c r="G376" t="str">
        <f>"0.5"</f>
        <v>0.5</v>
      </c>
      <c r="I376" t="str">
        <f t="shared" si="120"/>
        <v>项</v>
      </c>
      <c r="K376" t="str">
        <f>"NTTDXSY"</f>
        <v>NTTDXSY</v>
      </c>
      <c r="L376" t="str">
        <f>"NSWPNYC"</f>
        <v>NSWPNYC</v>
      </c>
      <c r="M376" t="str">
        <f>"0.5"</f>
        <v>0.5</v>
      </c>
      <c r="N376">
        <v>250102012</v>
      </c>
      <c r="O376" t="str">
        <f t="shared" si="121"/>
        <v>项</v>
      </c>
      <c r="P376" t="str">
        <f t="shared" si="113"/>
        <v>检验费</v>
      </c>
    </row>
    <row r="377" spans="1:16">
      <c r="A377" t="str">
        <f>"尿三胆检查"</f>
        <v>尿三胆检查</v>
      </c>
      <c r="B377">
        <v>250102013</v>
      </c>
      <c r="C377" t="str">
        <f t="shared" si="110"/>
        <v>检验</v>
      </c>
      <c r="D377" t="str">
        <f>"002501020130000"</f>
        <v>002501020130000</v>
      </c>
      <c r="G377">
        <v>1</v>
      </c>
      <c r="I377" t="str">
        <f t="shared" si="120"/>
        <v>项</v>
      </c>
      <c r="K377" t="str">
        <f>"NSDJC"</f>
        <v>NSDJC</v>
      </c>
      <c r="L377" t="str">
        <f>"NDESS"</f>
        <v>NDESS</v>
      </c>
      <c r="M377">
        <v>1</v>
      </c>
      <c r="N377">
        <v>250102013</v>
      </c>
      <c r="O377" t="str">
        <f t="shared" si="121"/>
        <v>项</v>
      </c>
      <c r="P377" t="str">
        <f t="shared" si="113"/>
        <v>检验费</v>
      </c>
    </row>
    <row r="378" spans="1:16">
      <c r="A378" t="str">
        <f>"尿乳糜定性检查"</f>
        <v>尿乳糜定性检查</v>
      </c>
      <c r="B378">
        <v>250102016</v>
      </c>
      <c r="C378" t="str">
        <f t="shared" si="110"/>
        <v>检验</v>
      </c>
      <c r="D378" t="str">
        <f>"002501020160000"</f>
        <v>002501020160000</v>
      </c>
      <c r="G378">
        <v>1</v>
      </c>
      <c r="I378" t="str">
        <f t="shared" si="120"/>
        <v>项</v>
      </c>
      <c r="K378" t="str">
        <f>"NRMDXJC"</f>
        <v>NRMDXJC</v>
      </c>
      <c r="L378" t="str">
        <f>"NEYPNSS"</f>
        <v>NEYPNSS</v>
      </c>
      <c r="M378">
        <v>5</v>
      </c>
      <c r="N378">
        <v>250102016</v>
      </c>
      <c r="O378" t="str">
        <f t="shared" si="121"/>
        <v>项</v>
      </c>
      <c r="P378" t="str">
        <f t="shared" si="113"/>
        <v>检验费</v>
      </c>
    </row>
    <row r="379" spans="1:16">
      <c r="A379" t="str">
        <f>"尿浓缩稀释试验"</f>
        <v>尿浓缩稀释试验</v>
      </c>
      <c r="B379">
        <v>250102019</v>
      </c>
      <c r="C379" t="str">
        <f t="shared" si="110"/>
        <v>检验</v>
      </c>
      <c r="D379" t="str">
        <f>"002501020190000"</f>
        <v>002501020190000</v>
      </c>
      <c r="G379">
        <v>2</v>
      </c>
      <c r="I379" t="str">
        <f t="shared" si="120"/>
        <v>项</v>
      </c>
      <c r="K379" t="str">
        <f>"NNSXSSY"</f>
        <v>NNSXSSY</v>
      </c>
      <c r="L379" t="str">
        <f>"NIXTTYC"</f>
        <v>NIXTTYC</v>
      </c>
      <c r="M379">
        <v>2</v>
      </c>
      <c r="N379">
        <v>250102019</v>
      </c>
      <c r="O379" t="str">
        <f t="shared" si="121"/>
        <v>项</v>
      </c>
      <c r="P379" t="str">
        <f t="shared" si="113"/>
        <v>检验费</v>
      </c>
    </row>
    <row r="380" spans="1:16">
      <c r="A380" t="str">
        <f>"尿酚红排泄试验(PSP)"</f>
        <v>尿酚红排泄试验(PSP)</v>
      </c>
      <c r="B380">
        <v>250102020</v>
      </c>
      <c r="C380" t="str">
        <f t="shared" si="110"/>
        <v>检验</v>
      </c>
      <c r="D380" t="str">
        <f>"002501020200000"</f>
        <v>002501020200000</v>
      </c>
      <c r="G380">
        <v>2</v>
      </c>
      <c r="I380" t="str">
        <f t="shared" si="120"/>
        <v>项</v>
      </c>
      <c r="K380" t="str">
        <f>"NFHPXSY(PSP)"</f>
        <v>NFHPXSY(PSP)</v>
      </c>
      <c r="L380" t="str">
        <f>"NSXRIYC(psp)"</f>
        <v>NSXRIYC(psp)</v>
      </c>
      <c r="M380">
        <v>2</v>
      </c>
      <c r="N380">
        <v>250102020</v>
      </c>
      <c r="O380" t="str">
        <f t="shared" si="121"/>
        <v>项</v>
      </c>
      <c r="P380" t="str">
        <f t="shared" si="113"/>
        <v>检验费</v>
      </c>
    </row>
    <row r="381" spans="1:16">
      <c r="A381" t="str">
        <f>"尿妊娠试验"</f>
        <v>尿妊娠试验</v>
      </c>
      <c r="B381" t="str">
        <f>"250102021-b"</f>
        <v>250102021-b</v>
      </c>
      <c r="C381" t="str">
        <f t="shared" si="110"/>
        <v>检验</v>
      </c>
      <c r="D381" t="str">
        <f>"002501020210000"</f>
        <v>002501020210000</v>
      </c>
      <c r="G381">
        <v>7</v>
      </c>
      <c r="I381" t="str">
        <f t="shared" si="120"/>
        <v>项</v>
      </c>
      <c r="K381" t="str">
        <f>"NRSSY"</f>
        <v>NRSSY</v>
      </c>
      <c r="L381" t="str">
        <f>"NVVYC"</f>
        <v>NVVYC</v>
      </c>
      <c r="M381">
        <v>7</v>
      </c>
      <c r="N381" t="str">
        <f>"250102021-b"</f>
        <v>250102021-b</v>
      </c>
      <c r="O381" t="str">
        <f t="shared" si="121"/>
        <v>项</v>
      </c>
      <c r="P381" t="str">
        <f t="shared" si="113"/>
        <v>检验费</v>
      </c>
    </row>
    <row r="382" spans="1:16">
      <c r="A382" t="str">
        <f>"尿沉渣定量"</f>
        <v>尿沉渣定量</v>
      </c>
      <c r="B382" t="str">
        <f>"250102024-a"</f>
        <v>250102024-a</v>
      </c>
      <c r="C382" t="str">
        <f t="shared" si="110"/>
        <v>检验</v>
      </c>
      <c r="D382" t="str">
        <f>"002501020240000"</f>
        <v>002501020240000</v>
      </c>
      <c r="G382">
        <v>20</v>
      </c>
      <c r="I382" t="str">
        <f t="shared" si="120"/>
        <v>项</v>
      </c>
      <c r="K382" t="str">
        <f>"NCZDL"</f>
        <v>NCZDL</v>
      </c>
      <c r="L382" t="str">
        <f>"NIIPJ"</f>
        <v>NIIPJ</v>
      </c>
      <c r="M382">
        <v>20</v>
      </c>
      <c r="N382" t="str">
        <f>"250102024-a"</f>
        <v>250102024-a</v>
      </c>
      <c r="O382" t="str">
        <f t="shared" si="121"/>
        <v>项</v>
      </c>
      <c r="P382" t="str">
        <f t="shared" si="113"/>
        <v>检验费</v>
      </c>
    </row>
    <row r="383" spans="1:16">
      <c r="A383" t="str">
        <f>"尿三杯试验"</f>
        <v>尿三杯试验</v>
      </c>
      <c r="B383">
        <v>250102026</v>
      </c>
      <c r="C383" t="str">
        <f t="shared" si="110"/>
        <v>检验</v>
      </c>
      <c r="D383" t="str">
        <f>"002501020260000"</f>
        <v>002501020260000</v>
      </c>
      <c r="G383">
        <v>2</v>
      </c>
      <c r="I383" t="str">
        <f t="shared" si="120"/>
        <v>项</v>
      </c>
      <c r="K383" t="str">
        <f>"NSBSY"</f>
        <v>NSBSY</v>
      </c>
      <c r="L383" t="str">
        <f>"NDSYC"</f>
        <v>NDSYC</v>
      </c>
      <c r="M383">
        <v>2</v>
      </c>
      <c r="N383">
        <v>250102026</v>
      </c>
      <c r="O383" t="str">
        <f t="shared" si="121"/>
        <v>项</v>
      </c>
      <c r="P383" t="str">
        <f t="shared" si="113"/>
        <v>检验费</v>
      </c>
    </row>
    <row r="384" spans="1:16">
      <c r="A384" t="str">
        <f>"尿常规化学检测"</f>
        <v>尿常规化学检测</v>
      </c>
      <c r="B384">
        <v>250102035</v>
      </c>
      <c r="C384" t="str">
        <f t="shared" si="110"/>
        <v>检验</v>
      </c>
      <c r="D384" t="str">
        <f>"002501020350000"</f>
        <v>002501020350000</v>
      </c>
      <c r="G384">
        <v>5</v>
      </c>
      <c r="I384" t="str">
        <f t="shared" ref="I384:I389" si="122">"次"</f>
        <v>次</v>
      </c>
      <c r="K384" t="str">
        <f>"NCGHXJC"</f>
        <v>NCGHXJC</v>
      </c>
      <c r="L384" t="str">
        <f>"NIFWISI"</f>
        <v>NIFWISI</v>
      </c>
      <c r="M384">
        <v>5</v>
      </c>
      <c r="N384">
        <v>250102035</v>
      </c>
      <c r="O384" t="str">
        <f t="shared" ref="O384:O389" si="123">"次"</f>
        <v>次</v>
      </c>
      <c r="P384" t="str">
        <f t="shared" si="113"/>
        <v>检验费</v>
      </c>
    </row>
    <row r="385" spans="1:16">
      <c r="A385" t="str">
        <f>"尿碘快速测定"</f>
        <v>尿碘快速测定</v>
      </c>
      <c r="B385" t="str">
        <f>"250102035-b"</f>
        <v>250102035-b</v>
      </c>
      <c r="C385" t="str">
        <f t="shared" si="110"/>
        <v>检验</v>
      </c>
      <c r="D385" t="str">
        <f>"002501020350000"</f>
        <v>002501020350000</v>
      </c>
      <c r="G385">
        <v>25</v>
      </c>
      <c r="I385" t="str">
        <f t="shared" ref="I385:I388" si="124">"项"</f>
        <v>项</v>
      </c>
      <c r="K385" t="str">
        <f>"NDKSCD"</f>
        <v>NDKSCD</v>
      </c>
      <c r="L385" t="str">
        <f>"NDNGIP"</f>
        <v>NDNGIP</v>
      </c>
      <c r="M385">
        <v>25</v>
      </c>
      <c r="N385" t="str">
        <f>"250102035-b"</f>
        <v>250102035-b</v>
      </c>
      <c r="O385" t="str">
        <f t="shared" ref="O385:O388" si="125">"项"</f>
        <v>项</v>
      </c>
      <c r="P385" t="str">
        <f t="shared" si="113"/>
        <v>检验费</v>
      </c>
    </row>
    <row r="386" spans="1:16">
      <c r="A386" t="str">
        <f>"粪便常规"</f>
        <v>粪便常规</v>
      </c>
      <c r="B386">
        <v>250103001</v>
      </c>
      <c r="C386" t="str">
        <f t="shared" si="110"/>
        <v>检验</v>
      </c>
      <c r="G386">
        <v>5</v>
      </c>
      <c r="I386" t="str">
        <f t="shared" si="122"/>
        <v>次</v>
      </c>
      <c r="K386" t="str">
        <f>"FBCG"</f>
        <v>FBCG</v>
      </c>
      <c r="L386" t="str">
        <f>"OWIF"</f>
        <v>OWIF</v>
      </c>
      <c r="M386">
        <v>5</v>
      </c>
      <c r="N386">
        <v>250103001</v>
      </c>
      <c r="O386" t="str">
        <f t="shared" si="123"/>
        <v>次</v>
      </c>
      <c r="P386" t="str">
        <f t="shared" si="113"/>
        <v>检验费</v>
      </c>
    </row>
    <row r="387" spans="1:16">
      <c r="A387" t="str">
        <f>"粪便隐血试验(OB)"</f>
        <v>粪便隐血试验(OB)</v>
      </c>
      <c r="B387" t="str">
        <f>"250103002-b"</f>
        <v>250103002-b</v>
      </c>
      <c r="C387" t="str">
        <f t="shared" si="110"/>
        <v>检验</v>
      </c>
      <c r="D387" t="str">
        <f>"002501030020000"</f>
        <v>002501030020000</v>
      </c>
      <c r="G387">
        <v>12</v>
      </c>
      <c r="I387" t="str">
        <f t="shared" si="124"/>
        <v>项</v>
      </c>
      <c r="K387" t="str">
        <f>"FBYXSY(OB)"</f>
        <v>FBYXSY(OB)</v>
      </c>
      <c r="L387" t="str">
        <f>"OWBTYC(ob)"</f>
        <v>OWBTYC(ob)</v>
      </c>
      <c r="M387">
        <v>12</v>
      </c>
      <c r="N387" t="str">
        <f>"250103002-b"</f>
        <v>250103002-b</v>
      </c>
      <c r="O387" t="str">
        <f t="shared" si="125"/>
        <v>项</v>
      </c>
      <c r="P387" t="str">
        <f t="shared" si="113"/>
        <v>检验费</v>
      </c>
    </row>
    <row r="388" spans="1:16">
      <c r="A388" t="str">
        <f>"前列腺液常规检查"</f>
        <v>前列腺液常规检查</v>
      </c>
      <c r="B388">
        <v>250104013</v>
      </c>
      <c r="C388" t="str">
        <f t="shared" si="110"/>
        <v>检验</v>
      </c>
      <c r="D388" t="str">
        <f>"002501040130000"</f>
        <v>002501040130000</v>
      </c>
      <c r="G388">
        <v>2</v>
      </c>
      <c r="I388" t="str">
        <f t="shared" si="124"/>
        <v>项</v>
      </c>
      <c r="K388" t="str">
        <f>"QLXYCGJC"</f>
        <v>QLXYCGJC</v>
      </c>
      <c r="L388" t="str">
        <f>"UGEIIFSS"</f>
        <v>UGEIIFSS</v>
      </c>
      <c r="M388">
        <v>5</v>
      </c>
      <c r="N388">
        <v>250104013</v>
      </c>
      <c r="O388" t="str">
        <f t="shared" si="125"/>
        <v>项</v>
      </c>
      <c r="P388" t="str">
        <f t="shared" si="113"/>
        <v>检验费</v>
      </c>
    </row>
    <row r="389" spans="1:16">
      <c r="A389" t="str">
        <f>"阴道分泌物检查"</f>
        <v>阴道分泌物检查</v>
      </c>
      <c r="B389">
        <v>250104014</v>
      </c>
      <c r="C389" t="str">
        <f t="shared" si="110"/>
        <v>检验</v>
      </c>
      <c r="D389" t="str">
        <f t="shared" ref="D389:D396" si="126">"002501040140000"</f>
        <v>002501040140000</v>
      </c>
      <c r="G389">
        <v>7</v>
      </c>
      <c r="I389" t="str">
        <f t="shared" si="122"/>
        <v>次</v>
      </c>
      <c r="K389" t="str">
        <f>"YDFMWJC"</f>
        <v>YDFMWJC</v>
      </c>
      <c r="L389" t="str">
        <f>"BUWITSS"</f>
        <v>BUWITSS</v>
      </c>
      <c r="M389">
        <v>7</v>
      </c>
      <c r="N389">
        <v>250104014</v>
      </c>
      <c r="O389" t="str">
        <f t="shared" si="123"/>
        <v>次</v>
      </c>
      <c r="P389" t="str">
        <f t="shared" si="113"/>
        <v>检验费</v>
      </c>
    </row>
    <row r="390" spans="1:16">
      <c r="A390" t="str">
        <f>"细菌性阴道炎检查（白细胞酯梅）"</f>
        <v>细菌性阴道炎检查（白细胞酯梅）</v>
      </c>
      <c r="B390" t="str">
        <f>"250104014-a-1"</f>
        <v>250104014-a-1</v>
      </c>
      <c r="C390" t="str">
        <f t="shared" si="110"/>
        <v>检验</v>
      </c>
      <c r="D390" t="str">
        <f t="shared" si="126"/>
        <v>002501040140000</v>
      </c>
      <c r="G390">
        <v>11</v>
      </c>
      <c r="I390" t="str">
        <f t="shared" ref="I390:I395" si="127">"项"</f>
        <v>项</v>
      </c>
      <c r="K390" t="str">
        <f>"XJXYDYJCBXBM"</f>
        <v>XJXYDYJCBXBM</v>
      </c>
      <c r="L390" t="str">
        <f>"XANBUOSSRXESS"</f>
        <v>XANBUOSSRXESS</v>
      </c>
      <c r="M390">
        <v>12</v>
      </c>
      <c r="N390" t="str">
        <f t="shared" ref="N390:N395" si="128">"250104014-a"</f>
        <v>250104014-a</v>
      </c>
      <c r="O390" t="str">
        <f t="shared" ref="O390:O395" si="129">"项"</f>
        <v>项</v>
      </c>
      <c r="P390" t="str">
        <f t="shared" si="113"/>
        <v>检验费</v>
      </c>
    </row>
    <row r="391" spans="1:16">
      <c r="A391" t="str">
        <f>"细菌性阴道炎检查（过氧化氢浓度）"</f>
        <v>细菌性阴道炎检查（过氧化氢浓度）</v>
      </c>
      <c r="B391" t="str">
        <f>"250104014-a-2"</f>
        <v>250104014-a-2</v>
      </c>
      <c r="C391" t="str">
        <f t="shared" si="110"/>
        <v>检验</v>
      </c>
      <c r="D391" t="str">
        <f t="shared" si="126"/>
        <v>002501040140000</v>
      </c>
      <c r="G391">
        <v>11</v>
      </c>
      <c r="I391" t="str">
        <f t="shared" si="127"/>
        <v>项</v>
      </c>
      <c r="K391" t="str">
        <f>"XJXYDYJCGYHQND"</f>
        <v>XJXYDYJCGYHQND</v>
      </c>
      <c r="L391" t="str">
        <f>"XANBUOSSFRWRIY"</f>
        <v>XANBUOSSFRWRIY</v>
      </c>
      <c r="M391">
        <v>12</v>
      </c>
      <c r="N391" t="str">
        <f t="shared" si="128"/>
        <v>250104014-a</v>
      </c>
      <c r="O391" t="str">
        <f t="shared" si="129"/>
        <v>项</v>
      </c>
      <c r="P391" t="str">
        <f t="shared" si="113"/>
        <v>检验费</v>
      </c>
    </row>
    <row r="392" spans="1:16">
      <c r="A392" t="str">
        <f>"细菌性阴道炎检查（葡萄糖酸苷酶）"</f>
        <v>细菌性阴道炎检查（葡萄糖酸苷酶）</v>
      </c>
      <c r="B392" t="str">
        <f>"250104014-a-3"</f>
        <v>250104014-a-3</v>
      </c>
      <c r="C392" t="str">
        <f t="shared" si="110"/>
        <v>检验</v>
      </c>
      <c r="D392" t="str">
        <f t="shared" si="126"/>
        <v>002501040140000</v>
      </c>
      <c r="G392">
        <v>11</v>
      </c>
      <c r="I392" t="str">
        <f t="shared" si="127"/>
        <v>项</v>
      </c>
      <c r="K392" t="str">
        <f>"XJXYDYJCPTTSM"</f>
        <v>XJXYDYJCPTTSM</v>
      </c>
      <c r="L392" t="str">
        <f>"XANBUOSSAAOSAS"</f>
        <v>XANBUOSSAAOSAS</v>
      </c>
      <c r="M392">
        <v>12</v>
      </c>
      <c r="N392" t="str">
        <f t="shared" si="128"/>
        <v>250104014-a</v>
      </c>
      <c r="O392" t="str">
        <f t="shared" si="129"/>
        <v>项</v>
      </c>
      <c r="P392" t="str">
        <f t="shared" si="113"/>
        <v>检验费</v>
      </c>
    </row>
    <row r="393" spans="1:16">
      <c r="A393" t="str">
        <f>"细菌性阴道炎检查(唾液酸苷酶）"</f>
        <v>细菌性阴道炎检查(唾液酸苷酶）</v>
      </c>
      <c r="B393" t="str">
        <f>"250104014-a-4"</f>
        <v>250104014-a-4</v>
      </c>
      <c r="C393" t="str">
        <f t="shared" si="110"/>
        <v>检验</v>
      </c>
      <c r="D393" t="str">
        <f t="shared" si="126"/>
        <v>002501040140000</v>
      </c>
      <c r="G393">
        <v>11</v>
      </c>
      <c r="I393" t="str">
        <f t="shared" si="127"/>
        <v>项</v>
      </c>
      <c r="K393" t="str">
        <f>"XJXYDYJCTYSM"</f>
        <v>XJXYDYJCTYSM</v>
      </c>
      <c r="L393" t="str">
        <f>"XANBUOSSKISAS"</f>
        <v>XANBUOSSKISAS</v>
      </c>
      <c r="M393">
        <v>12</v>
      </c>
      <c r="N393" t="str">
        <f t="shared" si="128"/>
        <v>250104014-a</v>
      </c>
      <c r="O393" t="str">
        <f t="shared" si="129"/>
        <v>项</v>
      </c>
      <c r="P393" t="str">
        <f t="shared" si="113"/>
        <v>检验费</v>
      </c>
    </row>
    <row r="394" spans="1:16">
      <c r="A394" t="str">
        <f>"细菌性阴道炎检查（乙酰氨基葡萄糖）"</f>
        <v>细菌性阴道炎检查（乙酰氨基葡萄糖）</v>
      </c>
      <c r="B394" t="str">
        <f>"250104014-a-5"</f>
        <v>250104014-a-5</v>
      </c>
      <c r="C394" t="str">
        <f t="shared" si="110"/>
        <v>检验</v>
      </c>
      <c r="D394" t="str">
        <f t="shared" si="126"/>
        <v>002501040140000</v>
      </c>
      <c r="G394">
        <v>11</v>
      </c>
      <c r="I394" t="str">
        <f t="shared" si="127"/>
        <v>项</v>
      </c>
      <c r="K394" t="str">
        <f>"XJXYDYJC"</f>
        <v>XJXYDYJC</v>
      </c>
      <c r="L394" t="str">
        <f>"XANBUOSS"</f>
        <v>XANBUOSS</v>
      </c>
      <c r="M394">
        <v>12</v>
      </c>
      <c r="N394" t="str">
        <f t="shared" si="128"/>
        <v>250104014-a</v>
      </c>
      <c r="O394" t="str">
        <f t="shared" si="129"/>
        <v>项</v>
      </c>
      <c r="P394" t="str">
        <f t="shared" si="113"/>
        <v>检验费</v>
      </c>
    </row>
    <row r="395" spans="1:16">
      <c r="A395" t="str">
        <f>"细菌性阴道炎检查(凝固酶)"</f>
        <v>细菌性阴道炎检查(凝固酶)</v>
      </c>
      <c r="B395" t="str">
        <f>"250104014-a-6"</f>
        <v>250104014-a-6</v>
      </c>
      <c r="C395" t="str">
        <f t="shared" si="110"/>
        <v>检验</v>
      </c>
      <c r="D395" t="str">
        <f t="shared" si="126"/>
        <v>002501040140000</v>
      </c>
      <c r="G395">
        <v>11</v>
      </c>
      <c r="I395" t="str">
        <f t="shared" si="127"/>
        <v>项</v>
      </c>
      <c r="K395" t="str">
        <f>"XJXYDYJCNGM"</f>
        <v>XJXYDYJCNGM</v>
      </c>
      <c r="L395" t="str">
        <f>"XANBUOSSULS"</f>
        <v>XANBUOSSULS</v>
      </c>
      <c r="M395">
        <v>12</v>
      </c>
      <c r="N395" t="str">
        <f t="shared" si="128"/>
        <v>250104014-a</v>
      </c>
      <c r="O395" t="str">
        <f t="shared" si="129"/>
        <v>项</v>
      </c>
      <c r="P395" t="str">
        <f t="shared" si="113"/>
        <v>检验费</v>
      </c>
    </row>
    <row r="396" spans="1:16">
      <c r="A396" t="str">
        <f>"阴道分泌物胺测定"</f>
        <v>阴道分泌物胺测定</v>
      </c>
      <c r="B396" t="str">
        <f>"250104014-b"</f>
        <v>250104014-b</v>
      </c>
      <c r="C396" t="str">
        <f t="shared" si="110"/>
        <v>检验</v>
      </c>
      <c r="D396" t="str">
        <f t="shared" si="126"/>
        <v>002501040140000</v>
      </c>
      <c r="G396">
        <v>20</v>
      </c>
      <c r="I396" t="str">
        <f>"次"</f>
        <v>次</v>
      </c>
      <c r="K396" t="str">
        <f>"YDFMWACD"</f>
        <v>YDFMWACD</v>
      </c>
      <c r="L396" t="str">
        <f>"BUWITEIP"</f>
        <v>BUWITEIP</v>
      </c>
      <c r="M396">
        <v>20</v>
      </c>
      <c r="N396" t="str">
        <f>"250104014-b"</f>
        <v>250104014-b</v>
      </c>
      <c r="O396" t="str">
        <f>"次"</f>
        <v>次</v>
      </c>
      <c r="P396" t="str">
        <f t="shared" si="113"/>
        <v>检验费</v>
      </c>
    </row>
    <row r="397" spans="1:16">
      <c r="A397" t="str">
        <f>"白色念珠菌抗原检测（免疫学方法）"</f>
        <v>白色念珠菌抗原检测（免疫学方法）</v>
      </c>
      <c r="B397" t="str">
        <f>"250104014-c"</f>
        <v>250104014-c</v>
      </c>
      <c r="C397" t="str">
        <f t="shared" si="110"/>
        <v>检验</v>
      </c>
      <c r="G397">
        <v>40</v>
      </c>
      <c r="I397" t="str">
        <f t="shared" ref="I397:I405" si="130">"项"</f>
        <v>项</v>
      </c>
      <c r="K397" t="str">
        <f>"BSNZJKYJCMYXFF"</f>
        <v>BSNZJKYJCMYXFF</v>
      </c>
      <c r="L397" t="str">
        <f>"RQWGARDSIQUIYI"</f>
        <v>RQWGARDSIQUIYI</v>
      </c>
      <c r="M397">
        <v>40</v>
      </c>
      <c r="N397" t="str">
        <f>"250104014-c"</f>
        <v>250104014-c</v>
      </c>
      <c r="O397" t="str">
        <f t="shared" ref="O397:O405" si="131">"项"</f>
        <v>项</v>
      </c>
      <c r="P397" t="str">
        <f t="shared" si="113"/>
        <v>检验费</v>
      </c>
    </row>
    <row r="398" spans="1:16">
      <c r="A398" t="str">
        <f>"痰液常规检查"</f>
        <v>痰液常规检查</v>
      </c>
      <c r="B398">
        <v>250104018</v>
      </c>
      <c r="C398" t="str">
        <f t="shared" si="110"/>
        <v>检验</v>
      </c>
      <c r="D398" t="str">
        <f>"002501040180000"</f>
        <v>002501040180000</v>
      </c>
      <c r="G398">
        <v>2</v>
      </c>
      <c r="I398" t="str">
        <f>"次"</f>
        <v>次</v>
      </c>
      <c r="K398" t="str">
        <f>"TYCGJC"</f>
        <v>TYCGJC</v>
      </c>
      <c r="L398" t="str">
        <f>"UIIFSS"</f>
        <v>UIIFSS</v>
      </c>
      <c r="M398">
        <v>2</v>
      </c>
      <c r="N398">
        <v>250104018</v>
      </c>
      <c r="O398" t="str">
        <f>"次"</f>
        <v>次</v>
      </c>
      <c r="P398" t="str">
        <f t="shared" si="113"/>
        <v>检验费</v>
      </c>
    </row>
    <row r="399" spans="1:16">
      <c r="A399" t="str">
        <f>"血浆凝血酶原时间测定(PT)(电化学法)"</f>
        <v>血浆凝血酶原时间测定(PT)(电化学法)</v>
      </c>
      <c r="B399" t="str">
        <f>"250203020-b"</f>
        <v>250203020-b</v>
      </c>
      <c r="C399" t="str">
        <f t="shared" si="110"/>
        <v>检验</v>
      </c>
      <c r="D399" t="str">
        <f>"002502030200000"</f>
        <v>002502030200000</v>
      </c>
      <c r="G399">
        <v>70</v>
      </c>
      <c r="I399" t="str">
        <f t="shared" si="130"/>
        <v>项</v>
      </c>
      <c r="K399" t="str">
        <f>"XJNXMYSJCD(PT)(D"</f>
        <v>XJNXMYSJCD(PT)(D</v>
      </c>
      <c r="L399" t="str">
        <f>"TUUTSDJUIPPTJWII"</f>
        <v>TUUTSDJUIPPTJWII</v>
      </c>
      <c r="M399">
        <v>70</v>
      </c>
      <c r="N399" t="str">
        <f>"250203020-b"</f>
        <v>250203020-b</v>
      </c>
      <c r="O399" t="str">
        <f t="shared" si="131"/>
        <v>项</v>
      </c>
      <c r="P399" t="str">
        <f t="shared" si="113"/>
        <v>检验费</v>
      </c>
    </row>
    <row r="400" spans="1:16">
      <c r="A400" t="str">
        <f>"白陶土部分凝血活酶时间测定(KPTT)(仪器法)"</f>
        <v>白陶土部分凝血活酶时间测定(KPTT)(仪器法)</v>
      </c>
      <c r="B400">
        <v>250203024</v>
      </c>
      <c r="C400" t="str">
        <f t="shared" si="110"/>
        <v>检验</v>
      </c>
      <c r="D400" t="str">
        <f>"002502030240000"</f>
        <v>002502030240000</v>
      </c>
      <c r="G400">
        <v>15</v>
      </c>
      <c r="I400" t="str">
        <f t="shared" si="130"/>
        <v>项</v>
      </c>
      <c r="K400" t="str">
        <f>"BTTBFNXHMSJCD(KP"</f>
        <v>BTTBFNXHMSJCD(KP</v>
      </c>
      <c r="L400" t="str">
        <f>"RBFUWUTISJUIPKPT"</f>
        <v>RBFUWUTISJUIPKPT</v>
      </c>
      <c r="M400">
        <v>15</v>
      </c>
      <c r="N400">
        <v>250203024</v>
      </c>
      <c r="O400" t="str">
        <f t="shared" si="131"/>
        <v>项</v>
      </c>
      <c r="P400" t="str">
        <f t="shared" si="113"/>
        <v>检验费</v>
      </c>
    </row>
    <row r="401" spans="1:16">
      <c r="A401" t="str">
        <f>"活化部分凝血活酶时间测定(APTT)"</f>
        <v>活化部分凝血活酶时间测定(APTT)</v>
      </c>
      <c r="B401">
        <v>250203025</v>
      </c>
      <c r="C401" t="str">
        <f t="shared" si="110"/>
        <v>检验</v>
      </c>
      <c r="D401" t="str">
        <f>"002502030250000"</f>
        <v>002502030250000</v>
      </c>
      <c r="G401">
        <v>15</v>
      </c>
      <c r="I401" t="str">
        <f t="shared" si="130"/>
        <v>项</v>
      </c>
      <c r="K401" t="str">
        <f>"HHBFNXHMSJCD(APTT)"</f>
        <v>HHBFNXHMSJCD(APTT)</v>
      </c>
      <c r="L401" t="str">
        <f>"IWUWUTISJUIP(aptt)"</f>
        <v>IWUWUTISJUIP(aptt)</v>
      </c>
      <c r="M401">
        <v>20</v>
      </c>
      <c r="N401">
        <v>250203025</v>
      </c>
      <c r="O401" t="str">
        <f t="shared" si="131"/>
        <v>项</v>
      </c>
      <c r="P401" t="str">
        <f t="shared" si="113"/>
        <v>检验费</v>
      </c>
    </row>
    <row r="402" spans="1:16">
      <c r="A402" t="str">
        <f>"活化凝血时间测定（ACT）"</f>
        <v>活化凝血时间测定（ACT）</v>
      </c>
      <c r="B402">
        <v>250203026</v>
      </c>
      <c r="C402" t="str">
        <f t="shared" si="110"/>
        <v>检验</v>
      </c>
      <c r="D402" t="str">
        <f>"002502030260000"</f>
        <v>002502030260000</v>
      </c>
      <c r="G402">
        <v>10</v>
      </c>
      <c r="I402" t="str">
        <f t="shared" si="130"/>
        <v>项</v>
      </c>
      <c r="K402" t="str">
        <f>"HHNXSJCDZACTZ"</f>
        <v>HHNXSJCDZACTZ</v>
      </c>
      <c r="L402" t="str">
        <f>"IWUTJUIPact"</f>
        <v>IWUTJUIPact</v>
      </c>
      <c r="M402">
        <v>10</v>
      </c>
      <c r="N402">
        <v>250203026</v>
      </c>
      <c r="O402" t="str">
        <f t="shared" si="131"/>
        <v>项</v>
      </c>
      <c r="P402" t="str">
        <f t="shared" si="113"/>
        <v>检验费</v>
      </c>
    </row>
    <row r="403" spans="1:16">
      <c r="A403" t="str">
        <f>"(FIB)血浆纤维蛋白原测定"</f>
        <v>(FIB)血浆纤维蛋白原测定</v>
      </c>
      <c r="B403">
        <v>250203030</v>
      </c>
      <c r="C403" t="str">
        <f t="shared" si="110"/>
        <v>检验</v>
      </c>
      <c r="D403" t="str">
        <f>"002502030300000"</f>
        <v>002502030300000</v>
      </c>
      <c r="G403">
        <v>15</v>
      </c>
      <c r="I403" t="str">
        <f t="shared" si="130"/>
        <v>项</v>
      </c>
      <c r="K403" t="str">
        <f>"(FIB)XJXWDBYCD"</f>
        <v>(FIB)XJXWDBYCD</v>
      </c>
      <c r="L403" t="str">
        <f>"FIBTUXXNRDIP"</f>
        <v>FIBTUXXNRDIP</v>
      </c>
      <c r="M403">
        <v>15</v>
      </c>
      <c r="N403">
        <v>250203030</v>
      </c>
      <c r="O403" t="str">
        <f t="shared" si="131"/>
        <v>项</v>
      </c>
      <c r="P403" t="str">
        <f t="shared" si="113"/>
        <v>检验费</v>
      </c>
    </row>
    <row r="404" spans="1:16">
      <c r="A404" t="str">
        <f>"凝血酶时间测定(TT)"</f>
        <v>凝血酶时间测定(TT)</v>
      </c>
      <c r="B404">
        <v>250203035</v>
      </c>
      <c r="C404" t="str">
        <f t="shared" si="110"/>
        <v>检验</v>
      </c>
      <c r="D404" t="str">
        <f>"002502030350000"</f>
        <v>002502030350000</v>
      </c>
      <c r="G404">
        <v>12</v>
      </c>
      <c r="I404" t="str">
        <f t="shared" si="130"/>
        <v>项</v>
      </c>
      <c r="K404" t="str">
        <f>"NXMSJCD(TT)"</f>
        <v>NXMSJCD(TT)</v>
      </c>
      <c r="L404" t="str">
        <f>"UTSJUIP(tt)"</f>
        <v>UTSJUIP(tt)</v>
      </c>
      <c r="M404">
        <v>12</v>
      </c>
      <c r="N404">
        <v>250203035</v>
      </c>
      <c r="O404" t="str">
        <f t="shared" si="131"/>
        <v>项</v>
      </c>
      <c r="P404" t="str">
        <f t="shared" si="113"/>
        <v>检验费</v>
      </c>
    </row>
    <row r="405" spans="1:16">
      <c r="A405" t="str">
        <f>"血浆D-二聚体测定(D-Dimer)仪器法"</f>
        <v>血浆D-二聚体测定(D-Dimer)仪器法</v>
      </c>
      <c r="B405" t="str">
        <f>"250203066-b"</f>
        <v>250203066-b</v>
      </c>
      <c r="C405" t="str">
        <f t="shared" si="110"/>
        <v>检验</v>
      </c>
      <c r="D405" t="str">
        <f>"002502030660000"</f>
        <v>002502030660000</v>
      </c>
      <c r="G405">
        <v>56</v>
      </c>
      <c r="I405" t="str">
        <f t="shared" si="130"/>
        <v>项</v>
      </c>
      <c r="K405" t="str">
        <f>"XJD-EJTCD(D-DIMER)YQF"</f>
        <v>XJD-EJTCD(D-DIMER)YQF</v>
      </c>
      <c r="L405" t="str">
        <f>"TUd-FBWIP(d-dimer)WKI"</f>
        <v>TUd-FBWIP(d-dimer)WKI</v>
      </c>
      <c r="M405">
        <v>70</v>
      </c>
      <c r="N405" t="str">
        <f>"250203066-b"</f>
        <v>250203066-b</v>
      </c>
      <c r="O405" t="str">
        <f t="shared" si="131"/>
        <v>项</v>
      </c>
      <c r="P405" t="str">
        <f t="shared" si="113"/>
        <v>检验费</v>
      </c>
    </row>
    <row r="406" spans="1:16">
      <c r="A406" t="str">
        <f>"红细胞流变特性检测"</f>
        <v>红细胞流变特性检测</v>
      </c>
      <c r="B406">
        <v>250203070</v>
      </c>
      <c r="C406" t="str">
        <f t="shared" si="110"/>
        <v>检验</v>
      </c>
      <c r="D406" t="str">
        <f>"002502030700000"</f>
        <v>002502030700000</v>
      </c>
      <c r="G406">
        <v>15</v>
      </c>
      <c r="I406" t="str">
        <f>"次"</f>
        <v>次</v>
      </c>
      <c r="K406" t="str">
        <f>"HXBLBTXJC"</f>
        <v>HXBLBTXJC</v>
      </c>
      <c r="L406" t="str">
        <f>"XXEIYTNSI"</f>
        <v>XXEIYTNSI</v>
      </c>
      <c r="M406">
        <v>15</v>
      </c>
      <c r="N406">
        <v>250203070</v>
      </c>
      <c r="O406" t="str">
        <f>"次"</f>
        <v>次</v>
      </c>
      <c r="P406" t="str">
        <f t="shared" si="113"/>
        <v>检验费</v>
      </c>
    </row>
    <row r="407" spans="1:16">
      <c r="A407" t="str">
        <f>"全血粘度测定（低切）"</f>
        <v>全血粘度测定（低切）</v>
      </c>
      <c r="B407" t="str">
        <f>"250203071-1"</f>
        <v>250203071-1</v>
      </c>
      <c r="C407" t="str">
        <f t="shared" si="110"/>
        <v>检验</v>
      </c>
      <c r="D407" t="str">
        <f t="shared" ref="D407:D409" si="132">"002502030710000"</f>
        <v>002502030710000</v>
      </c>
      <c r="G407">
        <v>15</v>
      </c>
      <c r="I407" t="str">
        <f t="shared" ref="I407:I412" si="133">"项"</f>
        <v>项</v>
      </c>
      <c r="K407" t="str">
        <f>"QXZDCD（DQ）"</f>
        <v>QXZDCD（DQ）</v>
      </c>
      <c r="L407" t="str">
        <f>"WTOYIPWA"</f>
        <v>WTOYIPWA</v>
      </c>
      <c r="M407">
        <v>15</v>
      </c>
      <c r="N407">
        <v>250203071</v>
      </c>
      <c r="O407" t="str">
        <f t="shared" ref="O407:O416" si="134">"项"</f>
        <v>项</v>
      </c>
      <c r="P407" t="str">
        <f t="shared" si="113"/>
        <v>检验费</v>
      </c>
    </row>
    <row r="408" spans="1:16">
      <c r="A408" t="str">
        <f>"全血粘度测定（中切）"</f>
        <v>全血粘度测定（中切）</v>
      </c>
      <c r="B408" t="str">
        <f>"250203071-2"</f>
        <v>250203071-2</v>
      </c>
      <c r="C408" t="str">
        <f t="shared" si="110"/>
        <v>检验</v>
      </c>
      <c r="D408" t="str">
        <f t="shared" si="132"/>
        <v>002502030710000</v>
      </c>
      <c r="G408">
        <v>15</v>
      </c>
      <c r="I408" t="str">
        <f t="shared" si="133"/>
        <v>项</v>
      </c>
      <c r="K408" t="str">
        <f>"QXZDCD（ZQ）"</f>
        <v>QXZDCD（ZQ）</v>
      </c>
      <c r="L408" t="str">
        <f>"WTOYIPKA"</f>
        <v>WTOYIPKA</v>
      </c>
      <c r="M408">
        <v>15</v>
      </c>
      <c r="N408">
        <v>250203071</v>
      </c>
      <c r="O408" t="str">
        <f t="shared" si="134"/>
        <v>项</v>
      </c>
      <c r="P408" t="str">
        <f t="shared" si="113"/>
        <v>检验费</v>
      </c>
    </row>
    <row r="409" spans="1:16">
      <c r="A409" t="str">
        <f>"全血粘度测定（高切）"</f>
        <v>全血粘度测定（高切）</v>
      </c>
      <c r="B409" t="str">
        <f>"250203071-3"</f>
        <v>250203071-3</v>
      </c>
      <c r="C409" t="str">
        <f t="shared" si="110"/>
        <v>检验</v>
      </c>
      <c r="D409" t="str">
        <f t="shared" si="132"/>
        <v>002502030710000</v>
      </c>
      <c r="G409">
        <v>15</v>
      </c>
      <c r="I409" t="str">
        <f t="shared" si="133"/>
        <v>项</v>
      </c>
      <c r="K409" t="str">
        <f>"QXZDCD（GQ）"</f>
        <v>QXZDCD（GQ）</v>
      </c>
      <c r="L409" t="str">
        <f>"WTOYIPYA"</f>
        <v>WTOYIPYA</v>
      </c>
      <c r="M409">
        <v>15</v>
      </c>
      <c r="N409">
        <v>250203071</v>
      </c>
      <c r="O409" t="str">
        <f t="shared" si="134"/>
        <v>项</v>
      </c>
      <c r="P409" t="str">
        <f t="shared" si="113"/>
        <v>检验费</v>
      </c>
    </row>
    <row r="410" spans="1:16">
      <c r="A410" t="str">
        <f>"血浆粘度测定"</f>
        <v>血浆粘度测定</v>
      </c>
      <c r="B410">
        <v>250203072</v>
      </c>
      <c r="C410" t="str">
        <f t="shared" si="110"/>
        <v>检验</v>
      </c>
      <c r="D410" t="str">
        <f>"002502030720000"</f>
        <v>002502030720000</v>
      </c>
      <c r="G410">
        <v>5</v>
      </c>
      <c r="I410" t="str">
        <f t="shared" si="133"/>
        <v>项</v>
      </c>
      <c r="K410" t="str">
        <f>"XJZDCD"</f>
        <v>XJZDCD</v>
      </c>
      <c r="L410" t="str">
        <f>"TUOYIP"</f>
        <v>TUOYIP</v>
      </c>
      <c r="M410">
        <v>5</v>
      </c>
      <c r="N410">
        <v>250203072</v>
      </c>
      <c r="O410" t="str">
        <f t="shared" si="134"/>
        <v>项</v>
      </c>
      <c r="P410" t="str">
        <f t="shared" si="113"/>
        <v>检验费</v>
      </c>
    </row>
    <row r="411" spans="1:16">
      <c r="A411" t="str">
        <f>"血清总蛋白测定化学法"</f>
        <v>血清总蛋白测定化学法</v>
      </c>
      <c r="B411" t="str">
        <f>"250301001-a"</f>
        <v>250301001-a</v>
      </c>
      <c r="C411" t="str">
        <f t="shared" si="110"/>
        <v>检验</v>
      </c>
      <c r="D411" t="str">
        <f>"002503010010000"</f>
        <v>002503010010000</v>
      </c>
      <c r="G411">
        <v>4</v>
      </c>
      <c r="I411" t="str">
        <f t="shared" si="133"/>
        <v>项</v>
      </c>
      <c r="K411" t="str">
        <f>"XQZDBCDHXF"</f>
        <v>XQZDBCDHXF</v>
      </c>
      <c r="L411" t="str">
        <f>"TIUNRIPWII"</f>
        <v>TIUNRIPWII</v>
      </c>
      <c r="M411">
        <v>4</v>
      </c>
      <c r="N411" t="str">
        <f>"250301001-a"</f>
        <v>250301001-a</v>
      </c>
      <c r="O411" t="str">
        <f t="shared" si="134"/>
        <v>项</v>
      </c>
      <c r="P411" t="str">
        <f t="shared" si="113"/>
        <v>检验费</v>
      </c>
    </row>
    <row r="412" spans="1:16">
      <c r="A412" t="str">
        <f>"血清白蛋白测定化学法"</f>
        <v>血清白蛋白测定化学法</v>
      </c>
      <c r="B412" t="str">
        <f>"250301002-a"</f>
        <v>250301002-a</v>
      </c>
      <c r="C412" t="str">
        <f t="shared" si="110"/>
        <v>检验</v>
      </c>
      <c r="D412" t="str">
        <f>"002503010020000"</f>
        <v>002503010020000</v>
      </c>
      <c r="G412">
        <v>4</v>
      </c>
      <c r="I412" t="str">
        <f t="shared" si="133"/>
        <v>项</v>
      </c>
      <c r="K412" t="str">
        <f>"XQBDBCDHXF"</f>
        <v>XQBDBCDHXF</v>
      </c>
      <c r="L412" t="str">
        <f>"TIRNRIPWII"</f>
        <v>TIRNRIPWII</v>
      </c>
      <c r="M412">
        <v>4</v>
      </c>
      <c r="N412" t="str">
        <f>"250301002-a"</f>
        <v>250301002-a</v>
      </c>
      <c r="O412" t="str">
        <f t="shared" si="134"/>
        <v>项</v>
      </c>
      <c r="P412" t="str">
        <f t="shared" si="113"/>
        <v>检验费</v>
      </c>
    </row>
    <row r="413" spans="1:16">
      <c r="A413" t="str">
        <f>"血清前白蛋白测定（免疫比浊法、化学发光法）"</f>
        <v>血清前白蛋白测定（免疫比浊法、化学发光法）</v>
      </c>
      <c r="B413">
        <v>250301006</v>
      </c>
      <c r="C413" t="str">
        <f t="shared" si="110"/>
        <v>检验</v>
      </c>
      <c r="G413">
        <v>22</v>
      </c>
      <c r="I413" t="str">
        <f>"-"</f>
        <v>-</v>
      </c>
      <c r="K413" t="str">
        <f>"XQQBDBCDMYBZFHXFGF"</f>
        <v>XQQBDBCDMYBZFHXFGF</v>
      </c>
      <c r="L413" t="str">
        <f>"TIURNRIPQUXIIWINII"</f>
        <v>TIURNRIPQUXIIWINII</v>
      </c>
      <c r="M413">
        <v>25</v>
      </c>
      <c r="N413">
        <v>250301006</v>
      </c>
      <c r="O413" t="str">
        <f t="shared" si="134"/>
        <v>项</v>
      </c>
      <c r="P413" t="str">
        <f t="shared" si="113"/>
        <v>检验费</v>
      </c>
    </row>
    <row r="414" spans="1:16">
      <c r="A414" t="str">
        <f>"β2微球蛋白测定"</f>
        <v>β2微球蛋白测定</v>
      </c>
      <c r="B414">
        <v>250301014</v>
      </c>
      <c r="C414" t="str">
        <f t="shared" si="110"/>
        <v>检验</v>
      </c>
      <c r="G414">
        <v>15</v>
      </c>
      <c r="I414" t="str">
        <f t="shared" ref="I414:I416" si="135">"项"</f>
        <v>项</v>
      </c>
      <c r="K414" t="str">
        <f>"Β2WQDBCD"</f>
        <v>Β2WQDBCD</v>
      </c>
      <c r="L414" t="str">
        <f>"2TGNRIP"</f>
        <v>2TGNRIP</v>
      </c>
      <c r="M414">
        <v>15</v>
      </c>
      <c r="N414">
        <v>250301014</v>
      </c>
      <c r="O414" t="str">
        <f t="shared" si="134"/>
        <v>项</v>
      </c>
      <c r="P414" t="str">
        <f t="shared" si="113"/>
        <v>检验费</v>
      </c>
    </row>
    <row r="415" spans="1:16">
      <c r="A415" t="str">
        <f>"超敏C反应蛋白测定（各种免疫学方法）"</f>
        <v>超敏C反应蛋白测定（各种免疫学方法）</v>
      </c>
      <c r="B415" t="str">
        <f>"250301017-c"</f>
        <v>250301017-c</v>
      </c>
      <c r="C415" t="str">
        <f t="shared" si="110"/>
        <v>检验</v>
      </c>
      <c r="G415">
        <v>30</v>
      </c>
      <c r="I415" t="str">
        <f t="shared" si="135"/>
        <v>项</v>
      </c>
      <c r="K415" t="str">
        <f>"CMCFYDBCDGZMYXFF"</f>
        <v>CMCFYDBCDGZMYXFF</v>
      </c>
      <c r="L415" t="str">
        <f>"FTCRYNRIPTTQUIYI"</f>
        <v>FTCRYNRIPTTQUIYI</v>
      </c>
      <c r="M415">
        <v>35</v>
      </c>
      <c r="N415" t="str">
        <f>"250301017-c"</f>
        <v>250301017-c</v>
      </c>
      <c r="O415" t="str">
        <f t="shared" si="134"/>
        <v>项</v>
      </c>
      <c r="P415" t="str">
        <f t="shared" si="113"/>
        <v>检验费</v>
      </c>
    </row>
    <row r="416" spans="1:16">
      <c r="A416" t="str">
        <f>"高敏感C-反应蛋白测定（免疫比浊终点法）"</f>
        <v>高敏感C-反应蛋白测定（免疫比浊终点法）</v>
      </c>
      <c r="B416" t="str">
        <f>"250301017-d"</f>
        <v>250301017-d</v>
      </c>
      <c r="C416" t="str">
        <f t="shared" si="110"/>
        <v>检验</v>
      </c>
      <c r="D416" t="str">
        <f>"002503010170000"</f>
        <v>002503010170000</v>
      </c>
      <c r="G416">
        <v>35</v>
      </c>
      <c r="I416" t="str">
        <f t="shared" si="135"/>
        <v>项</v>
      </c>
      <c r="K416" t="str">
        <f>"GMGC-FYDBCD（MYBZ"</f>
        <v>GMGC-FYDBCD（MYBZ</v>
      </c>
      <c r="L416" t="str">
        <f>"YTDCRYNRIPQUXIXH"</f>
        <v>YTDCRYNRIPQUXIXH</v>
      </c>
      <c r="M416">
        <v>35</v>
      </c>
      <c r="N416" t="str">
        <f>"250301017-d"</f>
        <v>250301017-d</v>
      </c>
      <c r="O416" t="str">
        <f t="shared" si="134"/>
        <v>项</v>
      </c>
      <c r="P416" t="str">
        <f t="shared" si="113"/>
        <v>检验费</v>
      </c>
    </row>
    <row r="417" spans="1:16">
      <c r="A417" t="str">
        <f>"视黄醇结合蛋白测定"</f>
        <v>视黄醇结合蛋白测定</v>
      </c>
      <c r="B417">
        <v>250301018</v>
      </c>
      <c r="C417" t="str">
        <f t="shared" ref="C417:C480" si="136">"检验"</f>
        <v>检验</v>
      </c>
      <c r="G417">
        <v>15</v>
      </c>
      <c r="I417" t="str">
        <f>"-"</f>
        <v>-</v>
      </c>
      <c r="K417" t="str">
        <f>"SHCJHDBCD"</f>
        <v>SHCJHDBCD</v>
      </c>
      <c r="L417" t="str">
        <f>"PASXWNRIP"</f>
        <v>PASXWNRIP</v>
      </c>
      <c r="M417">
        <v>15</v>
      </c>
      <c r="N417">
        <v>250301018</v>
      </c>
      <c r="O417" t="str">
        <f t="shared" ref="O417:O424" si="137">"次"</f>
        <v>次</v>
      </c>
      <c r="P417" t="str">
        <f t="shared" ref="P417:P480" si="138">"检验费"</f>
        <v>检验费</v>
      </c>
    </row>
    <row r="418" spans="1:16">
      <c r="A418" t="str">
        <f>"血清淀粉样蛋白A测定"</f>
        <v>血清淀粉样蛋白A测定</v>
      </c>
      <c r="B418" t="str">
        <f>"250301019-a"</f>
        <v>250301019-a</v>
      </c>
      <c r="C418" t="str">
        <f t="shared" si="136"/>
        <v>检验</v>
      </c>
      <c r="D418" t="str">
        <f>"002503010190000"</f>
        <v>002503010190000</v>
      </c>
      <c r="G418">
        <v>30</v>
      </c>
      <c r="I418" t="str">
        <f>"项"</f>
        <v>项</v>
      </c>
      <c r="K418" t="str">
        <f>"XQDFYDBACD"</f>
        <v>XQDFYDBACD</v>
      </c>
      <c r="L418" t="str">
        <f>"TIIOSNRAIP"</f>
        <v>TIIOSNRAIP</v>
      </c>
      <c r="M418">
        <v>30</v>
      </c>
      <c r="N418">
        <v>250301019</v>
      </c>
      <c r="O418" t="str">
        <f t="shared" si="137"/>
        <v>次</v>
      </c>
      <c r="P418" t="str">
        <f t="shared" si="138"/>
        <v>检验费</v>
      </c>
    </row>
    <row r="419" spans="1:16">
      <c r="A419" t="str">
        <f>"葡萄糖测定"</f>
        <v>葡萄糖测定</v>
      </c>
      <c r="B419" t="str">
        <f>"250302001-1"</f>
        <v>250302001-1</v>
      </c>
      <c r="C419" t="str">
        <f t="shared" si="136"/>
        <v>检验</v>
      </c>
      <c r="D419" t="str">
        <f t="shared" ref="D419:D422" si="139">"002503020010000"</f>
        <v>002503020010000</v>
      </c>
      <c r="G419">
        <v>4</v>
      </c>
      <c r="I419" t="str">
        <f t="shared" ref="I419:I424" si="140">"次"</f>
        <v>次</v>
      </c>
      <c r="K419" t="str">
        <f>"PTTCD"</f>
        <v>PTTCD</v>
      </c>
      <c r="L419" t="str">
        <f>"AAOIP"</f>
        <v>AAOIP</v>
      </c>
      <c r="M419">
        <v>4</v>
      </c>
      <c r="N419">
        <v>250302001</v>
      </c>
      <c r="O419" t="str">
        <f t="shared" si="137"/>
        <v>次</v>
      </c>
      <c r="P419" t="str">
        <f t="shared" si="138"/>
        <v>检验费</v>
      </c>
    </row>
    <row r="420" spans="1:16">
      <c r="A420" t="str">
        <f>"葡萄糖测定（各种酶法、酶电极法）(脑脊液)"</f>
        <v>葡萄糖测定（各种酶法、酶电极法）(脑脊液)</v>
      </c>
      <c r="B420" t="str">
        <f>"250302001-2"</f>
        <v>250302001-2</v>
      </c>
      <c r="C420" t="str">
        <f t="shared" si="136"/>
        <v>检验</v>
      </c>
      <c r="D420" t="str">
        <f t="shared" si="139"/>
        <v>002503020010000</v>
      </c>
      <c r="G420">
        <v>4</v>
      </c>
      <c r="I420">
        <v>1</v>
      </c>
      <c r="K420" t="str">
        <f t="shared" ref="K420:K422" si="141">"PTTCD（GZMF、MDJF）"</f>
        <v>PTTCD（GZMF、MDJF）</v>
      </c>
      <c r="L420" t="str">
        <f>"AAOIPTTSISJSIEII"</f>
        <v>AAOIPTTSISJSIEII</v>
      </c>
      <c r="M420">
        <v>4</v>
      </c>
      <c r="N420">
        <v>250302001</v>
      </c>
      <c r="O420" t="str">
        <f t="shared" si="137"/>
        <v>次</v>
      </c>
      <c r="P420" t="str">
        <f t="shared" si="138"/>
        <v>检验费</v>
      </c>
    </row>
    <row r="421" spans="1:16">
      <c r="A421" t="str">
        <f>"葡萄糖测定（各种酶法、酶电极法）(尿标本)"</f>
        <v>葡萄糖测定（各种酶法、酶电极法）(尿标本)</v>
      </c>
      <c r="B421" t="str">
        <f>"250302001-3"</f>
        <v>250302001-3</v>
      </c>
      <c r="C421" t="str">
        <f t="shared" si="136"/>
        <v>检验</v>
      </c>
      <c r="D421" t="str">
        <f t="shared" si="139"/>
        <v>002503020010000</v>
      </c>
      <c r="G421">
        <v>4</v>
      </c>
      <c r="I421">
        <v>1</v>
      </c>
      <c r="K421" t="str">
        <f t="shared" si="141"/>
        <v>PTTCD（GZMF、MDJF）</v>
      </c>
      <c r="L421" t="str">
        <f>"AAOIPTTSISJSINSS"</f>
        <v>AAOIPTTSISJSINSS</v>
      </c>
      <c r="M421">
        <v>4</v>
      </c>
      <c r="N421">
        <v>250302001</v>
      </c>
      <c r="O421" t="str">
        <f t="shared" si="137"/>
        <v>次</v>
      </c>
      <c r="P421" t="str">
        <f t="shared" si="138"/>
        <v>检验费</v>
      </c>
    </row>
    <row r="422" spans="1:16">
      <c r="A422" t="str">
        <f>"葡萄糖测定（各种酶法、酶电极法）(血清)"</f>
        <v>葡萄糖测定（各种酶法、酶电极法）(血清)</v>
      </c>
      <c r="B422" t="str">
        <f>"250302001-4"</f>
        <v>250302001-4</v>
      </c>
      <c r="C422" t="str">
        <f t="shared" si="136"/>
        <v>检验</v>
      </c>
      <c r="D422" t="str">
        <f t="shared" si="139"/>
        <v>002503020010000</v>
      </c>
      <c r="G422">
        <v>4</v>
      </c>
      <c r="I422">
        <v>1</v>
      </c>
      <c r="K422" t="str">
        <f t="shared" si="141"/>
        <v>PTTCD（GZMF、MDJF）</v>
      </c>
      <c r="L422" t="str">
        <f>"AAOIPTTSISJSITI"</f>
        <v>AAOIPTTSISJSITI</v>
      </c>
      <c r="M422">
        <v>4</v>
      </c>
      <c r="N422">
        <v>250302001</v>
      </c>
      <c r="O422" t="str">
        <f t="shared" si="137"/>
        <v>次</v>
      </c>
      <c r="P422" t="str">
        <f t="shared" si="138"/>
        <v>检验费</v>
      </c>
    </row>
    <row r="423" spans="1:16">
      <c r="A423" t="str">
        <f>"糖化血红蛋白测定（各种免疫学方法）"</f>
        <v>糖化血红蛋白测定（各种免疫学方法）</v>
      </c>
      <c r="B423">
        <v>250302003</v>
      </c>
      <c r="C423" t="str">
        <f t="shared" si="136"/>
        <v>检验</v>
      </c>
      <c r="D423" t="str">
        <f>"002503020030000"</f>
        <v>002503020030000</v>
      </c>
      <c r="G423">
        <v>30</v>
      </c>
      <c r="I423" t="str">
        <f t="shared" si="140"/>
        <v>次</v>
      </c>
      <c r="K423" t="str">
        <f>"THXHDBCD（GZMYXFF"</f>
        <v>THXHDBCD（GZMYXFF</v>
      </c>
      <c r="L423" t="str">
        <f>"OWTXNRIPTTQUIYI"</f>
        <v>OWTXNRIPTTQUIYI</v>
      </c>
      <c r="M423">
        <v>30</v>
      </c>
      <c r="N423">
        <v>250302003</v>
      </c>
      <c r="O423" t="str">
        <f t="shared" si="137"/>
        <v>次</v>
      </c>
      <c r="P423" t="str">
        <f t="shared" si="138"/>
        <v>检验费</v>
      </c>
    </row>
    <row r="424" spans="1:16">
      <c r="A424" t="str">
        <f>"糖化血红蛋白测定"</f>
        <v>糖化血红蛋白测定</v>
      </c>
      <c r="B424" t="str">
        <f>"250302003-a"</f>
        <v>250302003-a</v>
      </c>
      <c r="C424" t="str">
        <f t="shared" si="136"/>
        <v>检验</v>
      </c>
      <c r="D424" t="str">
        <f>"002503020030000"</f>
        <v>002503020030000</v>
      </c>
      <c r="G424">
        <v>30</v>
      </c>
      <c r="I424" t="str">
        <f t="shared" si="140"/>
        <v>次</v>
      </c>
      <c r="K424" t="str">
        <f>"THXHDBCD"</f>
        <v>THXHDBCD</v>
      </c>
      <c r="L424" t="str">
        <f>"OWTXNRIP"</f>
        <v>OWTXNRIP</v>
      </c>
      <c r="M424">
        <v>60</v>
      </c>
      <c r="N424" t="str">
        <f>"250302003-a"</f>
        <v>250302003-a</v>
      </c>
      <c r="O424" t="str">
        <f t="shared" si="137"/>
        <v>次</v>
      </c>
      <c r="P424" t="str">
        <f t="shared" si="138"/>
        <v>检验费</v>
      </c>
    </row>
    <row r="425" spans="1:16">
      <c r="A425" t="str">
        <f>"血清总胆固醇测定化学法、酶法"</f>
        <v>血清总胆固醇测定化学法、酶法</v>
      </c>
      <c r="B425" t="str">
        <f>"250303001-a"</f>
        <v>250303001-a</v>
      </c>
      <c r="C425" t="str">
        <f t="shared" si="136"/>
        <v>检验</v>
      </c>
      <c r="D425" t="str">
        <f>"002503030010000"</f>
        <v>002503030010000</v>
      </c>
      <c r="G425">
        <v>4</v>
      </c>
      <c r="I425" t="str">
        <f t="shared" ref="I425:I430" si="142">"项"</f>
        <v>项</v>
      </c>
      <c r="K425" t="str">
        <f>"XQZDGCCDHXFMF"</f>
        <v>XQZDGCCDHXFMF</v>
      </c>
      <c r="L425" t="str">
        <f>"TIUELSIPWIISI"</f>
        <v>TIUELSIPWIISI</v>
      </c>
      <c r="M425">
        <v>4</v>
      </c>
      <c r="N425" t="str">
        <f>"250303001-a"</f>
        <v>250303001-a</v>
      </c>
      <c r="O425" t="str">
        <f t="shared" ref="O425:O431" si="143">"项"</f>
        <v>项</v>
      </c>
      <c r="P425" t="str">
        <f t="shared" si="138"/>
        <v>检验费</v>
      </c>
    </row>
    <row r="426" spans="1:16">
      <c r="A426" t="str">
        <f>"血清甘油三酯测定化学法、酶法"</f>
        <v>血清甘油三酯测定化学法、酶法</v>
      </c>
      <c r="B426" t="str">
        <f>"250303002-a"</f>
        <v>250303002-a</v>
      </c>
      <c r="C426" t="str">
        <f t="shared" si="136"/>
        <v>检验</v>
      </c>
      <c r="D426" t="str">
        <f>"002503030020000"</f>
        <v>002503030020000</v>
      </c>
      <c r="G426">
        <v>5</v>
      </c>
      <c r="I426" t="str">
        <f t="shared" si="142"/>
        <v>项</v>
      </c>
      <c r="K426" t="str">
        <f>"XQGYSZCDHXFZMF"</f>
        <v>XQGYSZCDHXFZMF</v>
      </c>
      <c r="L426" t="str">
        <f>"TIAIDSIPWIISI"</f>
        <v>TIAIDSIPWIISI</v>
      </c>
      <c r="M426">
        <v>5</v>
      </c>
      <c r="N426" t="str">
        <f>"250303002-a"</f>
        <v>250303002-a</v>
      </c>
      <c r="O426" t="str">
        <f t="shared" si="143"/>
        <v>项</v>
      </c>
      <c r="P426" t="str">
        <f t="shared" si="138"/>
        <v>检验费</v>
      </c>
    </row>
    <row r="427" spans="1:16">
      <c r="A427" t="str">
        <f>"血清高密度脂蛋白胆固醇测定"</f>
        <v>血清高密度脂蛋白胆固醇测定</v>
      </c>
      <c r="B427">
        <v>250303004</v>
      </c>
      <c r="C427" t="str">
        <f t="shared" si="136"/>
        <v>检验</v>
      </c>
      <c r="D427" t="str">
        <f>"002503030040000"</f>
        <v>002503030040000</v>
      </c>
      <c r="G427">
        <v>8</v>
      </c>
      <c r="I427" t="str">
        <f t="shared" si="142"/>
        <v>项</v>
      </c>
      <c r="K427" t="str">
        <f>"XQGMDZDBDGCCD"</f>
        <v>XQGMDZDBDGCCD</v>
      </c>
      <c r="L427" t="str">
        <f>"TIYPYENRELSIP"</f>
        <v>TIYPYENRELSIP</v>
      </c>
      <c r="M427">
        <v>8</v>
      </c>
      <c r="N427">
        <v>250303004</v>
      </c>
      <c r="O427" t="str">
        <f t="shared" si="143"/>
        <v>项</v>
      </c>
      <c r="P427" t="str">
        <f t="shared" si="138"/>
        <v>检验费</v>
      </c>
    </row>
    <row r="428" spans="1:16">
      <c r="A428" t="str">
        <f>"血清低密度脂蛋白胆固醇测定其他方法"</f>
        <v>血清低密度脂蛋白胆固醇测定其他方法</v>
      </c>
      <c r="B428" t="str">
        <f>"250303005-a"</f>
        <v>250303005-a</v>
      </c>
      <c r="C428" t="str">
        <f t="shared" si="136"/>
        <v>检验</v>
      </c>
      <c r="D428" t="str">
        <f>"002503030050000"</f>
        <v>002503030050000</v>
      </c>
      <c r="G428">
        <v>4</v>
      </c>
      <c r="I428" t="str">
        <f t="shared" si="142"/>
        <v>项</v>
      </c>
      <c r="K428" t="str">
        <f>"XQDMDZDBDGCCDQTF"</f>
        <v>XQDMDZDBDGCCDQTF</v>
      </c>
      <c r="L428" t="str">
        <f>"TIWPYENRELSIPAWY"</f>
        <v>TIWPYENRELSIPAWY</v>
      </c>
      <c r="M428">
        <v>10</v>
      </c>
      <c r="N428" t="str">
        <f>"250303005-a"</f>
        <v>250303005-a</v>
      </c>
      <c r="O428" t="str">
        <f t="shared" si="143"/>
        <v>项</v>
      </c>
      <c r="P428" t="str">
        <f t="shared" si="138"/>
        <v>检验费</v>
      </c>
    </row>
    <row r="429" spans="1:16">
      <c r="A429" t="str">
        <f>"血清载脂蛋白AⅠ测定"</f>
        <v>血清载脂蛋白AⅠ测定</v>
      </c>
      <c r="B429">
        <v>250303007</v>
      </c>
      <c r="C429" t="str">
        <f t="shared" si="136"/>
        <v>检验</v>
      </c>
      <c r="D429" t="str">
        <f>"002503030070000"</f>
        <v>002503030070000</v>
      </c>
      <c r="G429">
        <v>25</v>
      </c>
      <c r="I429" t="str">
        <f t="shared" si="142"/>
        <v>项</v>
      </c>
      <c r="K429" t="str">
        <f>"XQZZDBAⅠCD"</f>
        <v>XQZZDBAⅠCD</v>
      </c>
      <c r="L429" t="str">
        <f>"TIFENRaIP"</f>
        <v>TIFENRaIP</v>
      </c>
      <c r="M429">
        <v>25</v>
      </c>
      <c r="N429">
        <v>250303007</v>
      </c>
      <c r="O429" t="str">
        <f t="shared" si="143"/>
        <v>项</v>
      </c>
      <c r="P429" t="str">
        <f t="shared" si="138"/>
        <v>检验费</v>
      </c>
    </row>
    <row r="430" spans="1:16">
      <c r="A430" t="str">
        <f>"血清载脂蛋白B测定"</f>
        <v>血清载脂蛋白B测定</v>
      </c>
      <c r="B430">
        <v>250303009</v>
      </c>
      <c r="C430" t="str">
        <f t="shared" si="136"/>
        <v>检验</v>
      </c>
      <c r="D430" t="str">
        <f>"002503030090000"</f>
        <v>002503030090000</v>
      </c>
      <c r="G430">
        <v>25</v>
      </c>
      <c r="I430" t="str">
        <f t="shared" si="142"/>
        <v>项</v>
      </c>
      <c r="K430" t="str">
        <f>"XQZZDBBCD"</f>
        <v>XQZZDBBCD</v>
      </c>
      <c r="L430" t="str">
        <f>"TIFENRbIP"</f>
        <v>TIFENRbIP</v>
      </c>
      <c r="M430">
        <v>25</v>
      </c>
      <c r="N430">
        <v>250303009</v>
      </c>
      <c r="O430" t="str">
        <f t="shared" si="143"/>
        <v>项</v>
      </c>
      <c r="P430" t="str">
        <f t="shared" si="138"/>
        <v>检验费</v>
      </c>
    </row>
    <row r="431" spans="1:16">
      <c r="A431" t="str">
        <f>"血清载脂蛋白α测定（免疫比浊法）"</f>
        <v>血清载脂蛋白α测定（免疫比浊法）</v>
      </c>
      <c r="B431">
        <v>250303013</v>
      </c>
      <c r="C431" t="str">
        <f t="shared" si="136"/>
        <v>检验</v>
      </c>
      <c r="G431">
        <v>25</v>
      </c>
      <c r="I431" t="str">
        <f>"-"</f>
        <v>-</v>
      </c>
      <c r="K431" t="str">
        <f>"XQZZDBACDMYBZF"</f>
        <v>XQZZDBACDMYBZF</v>
      </c>
      <c r="L431" t="str">
        <f>"TIFENRIPQUXII"</f>
        <v>TIFENRIPQUXII</v>
      </c>
      <c r="M431">
        <v>25</v>
      </c>
      <c r="N431">
        <v>250303013</v>
      </c>
      <c r="O431" t="str">
        <f t="shared" si="143"/>
        <v>项</v>
      </c>
      <c r="P431" t="str">
        <f t="shared" si="138"/>
        <v>检验费</v>
      </c>
    </row>
    <row r="432" spans="1:16">
      <c r="A432" t="str">
        <f>"游离脂肪酸测定"</f>
        <v>游离脂肪酸测定</v>
      </c>
      <c r="B432">
        <v>250303020</v>
      </c>
      <c r="C432" t="str">
        <f t="shared" si="136"/>
        <v>检验</v>
      </c>
      <c r="G432">
        <v>48</v>
      </c>
      <c r="I432">
        <v>1</v>
      </c>
      <c r="K432" t="str">
        <f>"YLZFSCD"</f>
        <v>YLZFSCD</v>
      </c>
      <c r="L432" t="str">
        <f>"IYEESIP"</f>
        <v>IYEESIP</v>
      </c>
      <c r="M432">
        <v>48</v>
      </c>
      <c r="N432">
        <v>250303020</v>
      </c>
      <c r="O432" t="str">
        <f>"次"</f>
        <v>次</v>
      </c>
      <c r="P432" t="str">
        <f t="shared" si="138"/>
        <v>检验费</v>
      </c>
    </row>
    <row r="433" spans="1:16">
      <c r="A433" t="str">
        <f>"钾测定"</f>
        <v>钾测定</v>
      </c>
      <c r="B433">
        <v>250304001</v>
      </c>
      <c r="C433" t="str">
        <f t="shared" si="136"/>
        <v>检验</v>
      </c>
      <c r="D433" t="str">
        <f>"002503040010000"</f>
        <v>002503040010000</v>
      </c>
      <c r="G433">
        <v>4</v>
      </c>
      <c r="I433" t="str">
        <f t="shared" ref="I433:I442" si="144">"项"</f>
        <v>项</v>
      </c>
      <c r="K433" t="str">
        <f>"JCD"</f>
        <v>JCD</v>
      </c>
      <c r="L433" t="str">
        <f t="shared" ref="L433:L436" si="145">"QIP"</f>
        <v>QIP</v>
      </c>
      <c r="M433">
        <v>4</v>
      </c>
      <c r="N433">
        <v>250304001</v>
      </c>
      <c r="O433" t="str">
        <f t="shared" ref="O433:O471" si="146">"项"</f>
        <v>项</v>
      </c>
      <c r="P433" t="str">
        <f t="shared" si="138"/>
        <v>检验费</v>
      </c>
    </row>
    <row r="434" spans="1:16">
      <c r="A434" t="str">
        <f>"钠测定"</f>
        <v>钠测定</v>
      </c>
      <c r="B434">
        <v>250304002</v>
      </c>
      <c r="C434" t="str">
        <f t="shared" si="136"/>
        <v>检验</v>
      </c>
      <c r="D434" t="str">
        <f>"002503040020000"</f>
        <v>002503040020000</v>
      </c>
      <c r="G434">
        <v>4</v>
      </c>
      <c r="I434" t="str">
        <f t="shared" si="144"/>
        <v>项</v>
      </c>
      <c r="K434" t="str">
        <f>"NCD"</f>
        <v>NCD</v>
      </c>
      <c r="L434" t="str">
        <f t="shared" si="145"/>
        <v>QIP</v>
      </c>
      <c r="M434">
        <v>4</v>
      </c>
      <c r="N434">
        <v>250304002</v>
      </c>
      <c r="O434" t="str">
        <f t="shared" si="146"/>
        <v>项</v>
      </c>
      <c r="P434" t="str">
        <f t="shared" si="138"/>
        <v>检验费</v>
      </c>
    </row>
    <row r="435" spans="1:16">
      <c r="A435" t="str">
        <f>"氯测定"</f>
        <v>氯测定</v>
      </c>
      <c r="B435">
        <v>250304003</v>
      </c>
      <c r="C435" t="str">
        <f t="shared" si="136"/>
        <v>检验</v>
      </c>
      <c r="D435" t="str">
        <f>"002503040030000"</f>
        <v>002503040030000</v>
      </c>
      <c r="G435">
        <v>4</v>
      </c>
      <c r="I435" t="str">
        <f t="shared" si="144"/>
        <v>项</v>
      </c>
      <c r="K435" t="str">
        <f>"LCD"</f>
        <v>LCD</v>
      </c>
      <c r="L435" t="str">
        <f>"RIP"</f>
        <v>RIP</v>
      </c>
      <c r="M435">
        <v>4</v>
      </c>
      <c r="N435">
        <v>250304003</v>
      </c>
      <c r="O435" t="str">
        <f t="shared" si="146"/>
        <v>项</v>
      </c>
      <c r="P435" t="str">
        <f t="shared" si="138"/>
        <v>检验费</v>
      </c>
    </row>
    <row r="436" spans="1:16">
      <c r="A436" t="str">
        <f>"钙测定"</f>
        <v>钙测定</v>
      </c>
      <c r="B436">
        <v>250304004</v>
      </c>
      <c r="C436" t="str">
        <f t="shared" si="136"/>
        <v>检验</v>
      </c>
      <c r="D436" t="str">
        <f>"002503040040000"</f>
        <v>002503040040000</v>
      </c>
      <c r="G436">
        <v>4</v>
      </c>
      <c r="I436" t="str">
        <f t="shared" si="144"/>
        <v>项</v>
      </c>
      <c r="K436" t="str">
        <f>"GCD"</f>
        <v>GCD</v>
      </c>
      <c r="L436" t="str">
        <f t="shared" si="145"/>
        <v>QIP</v>
      </c>
      <c r="M436">
        <v>4</v>
      </c>
      <c r="N436">
        <v>250304004</v>
      </c>
      <c r="O436" t="str">
        <f t="shared" si="146"/>
        <v>项</v>
      </c>
      <c r="P436" t="str">
        <f t="shared" si="138"/>
        <v>检验费</v>
      </c>
    </row>
    <row r="437" spans="1:16">
      <c r="A437" t="str">
        <f>"无机磷测定"</f>
        <v>无机磷测定</v>
      </c>
      <c r="B437">
        <v>250304005</v>
      </c>
      <c r="C437" t="str">
        <f t="shared" si="136"/>
        <v>检验</v>
      </c>
      <c r="D437" t="str">
        <f>"002503040050000"</f>
        <v>002503040050000</v>
      </c>
      <c r="G437">
        <v>4</v>
      </c>
      <c r="I437" t="str">
        <f t="shared" si="144"/>
        <v>项</v>
      </c>
      <c r="K437" t="str">
        <f>"WJLCD"</f>
        <v>WJLCD</v>
      </c>
      <c r="L437" t="str">
        <f>"FSDIP"</f>
        <v>FSDIP</v>
      </c>
      <c r="M437">
        <v>4</v>
      </c>
      <c r="N437">
        <v>250304005</v>
      </c>
      <c r="O437" t="str">
        <f t="shared" si="146"/>
        <v>项</v>
      </c>
      <c r="P437" t="str">
        <f t="shared" si="138"/>
        <v>检验费</v>
      </c>
    </row>
    <row r="438" spans="1:16">
      <c r="A438" t="str">
        <f>"铁测定"</f>
        <v>铁测定</v>
      </c>
      <c r="B438">
        <v>250304007</v>
      </c>
      <c r="C438" t="str">
        <f t="shared" si="136"/>
        <v>检验</v>
      </c>
      <c r="D438" t="str">
        <f>"002503040070000"</f>
        <v>002503040070000</v>
      </c>
      <c r="G438">
        <v>5</v>
      </c>
      <c r="I438" t="str">
        <f t="shared" si="144"/>
        <v>项</v>
      </c>
      <c r="K438" t="str">
        <f>"TCD"</f>
        <v>TCD</v>
      </c>
      <c r="L438" t="str">
        <f>"QIP"</f>
        <v>QIP</v>
      </c>
      <c r="M438">
        <v>5</v>
      </c>
      <c r="N438">
        <v>250304007</v>
      </c>
      <c r="O438" t="str">
        <f t="shared" si="146"/>
        <v>项</v>
      </c>
      <c r="P438" t="str">
        <f t="shared" si="138"/>
        <v>检验费</v>
      </c>
    </row>
    <row r="439" spans="1:16">
      <c r="A439" t="str">
        <f>"微量元素测定"</f>
        <v>微量元素测定</v>
      </c>
      <c r="B439">
        <v>250304013</v>
      </c>
      <c r="C439" t="str">
        <f t="shared" si="136"/>
        <v>检验</v>
      </c>
      <c r="D439" t="str">
        <f>"002503040130000"</f>
        <v>002503040130000</v>
      </c>
      <c r="G439">
        <v>6</v>
      </c>
      <c r="I439" t="str">
        <f t="shared" si="144"/>
        <v>项</v>
      </c>
      <c r="K439" t="str">
        <f>"WLYSCD"</f>
        <v>WLYSCD</v>
      </c>
      <c r="L439" t="str">
        <f>"TJFGIP"</f>
        <v>TJFGIP</v>
      </c>
      <c r="M439">
        <v>6</v>
      </c>
      <c r="N439">
        <v>250304013</v>
      </c>
      <c r="O439" t="str">
        <f t="shared" si="146"/>
        <v>项</v>
      </c>
      <c r="P439" t="str">
        <f t="shared" si="138"/>
        <v>检验费</v>
      </c>
    </row>
    <row r="440" spans="1:16">
      <c r="A440" t="str">
        <f>"微量元素测定(铜)"</f>
        <v>微量元素测定(铜)</v>
      </c>
      <c r="B440" t="str">
        <f>"250304013-1"</f>
        <v>250304013-1</v>
      </c>
      <c r="C440" t="str">
        <f t="shared" si="136"/>
        <v>检验</v>
      </c>
      <c r="D440" t="str">
        <f>"002503040130000"</f>
        <v>002503040130000</v>
      </c>
      <c r="G440">
        <v>6</v>
      </c>
      <c r="I440" t="str">
        <f t="shared" si="144"/>
        <v>项</v>
      </c>
      <c r="K440" t="str">
        <f>"WLYSCDT"</f>
        <v>WLYSCDT</v>
      </c>
      <c r="L440" t="str">
        <f>"TJFGIPQ"</f>
        <v>TJFGIPQ</v>
      </c>
      <c r="M440">
        <v>6</v>
      </c>
      <c r="N440">
        <v>250304013</v>
      </c>
      <c r="O440" t="str">
        <f t="shared" si="146"/>
        <v>项</v>
      </c>
      <c r="P440" t="str">
        <f t="shared" si="138"/>
        <v>检验费</v>
      </c>
    </row>
    <row r="441" spans="1:16">
      <c r="A441" t="str">
        <f>"血清总胆红素测定"</f>
        <v>血清总胆红素测定</v>
      </c>
      <c r="B441">
        <v>250305001</v>
      </c>
      <c r="C441" t="str">
        <f t="shared" si="136"/>
        <v>检验</v>
      </c>
      <c r="D441" t="str">
        <f>"002503050010000"</f>
        <v>002503050010000</v>
      </c>
      <c r="G441">
        <v>4</v>
      </c>
      <c r="I441" t="str">
        <f t="shared" si="144"/>
        <v>项</v>
      </c>
      <c r="K441" t="str">
        <f>"XQZDHSCD"</f>
        <v>XQZDHSCD</v>
      </c>
      <c r="L441" t="str">
        <f>"TIUEXGIP"</f>
        <v>TIUEXGIP</v>
      </c>
      <c r="M441">
        <v>4</v>
      </c>
      <c r="N441">
        <v>250305001</v>
      </c>
      <c r="O441" t="str">
        <f t="shared" si="146"/>
        <v>项</v>
      </c>
      <c r="P441" t="str">
        <f t="shared" si="138"/>
        <v>检验费</v>
      </c>
    </row>
    <row r="442" spans="1:16">
      <c r="A442" t="str">
        <f>"血清直接胆红素测定"</f>
        <v>血清直接胆红素测定</v>
      </c>
      <c r="B442">
        <v>250305002</v>
      </c>
      <c r="C442" t="str">
        <f t="shared" si="136"/>
        <v>检验</v>
      </c>
      <c r="D442" t="str">
        <f>"002503050020000"</f>
        <v>002503050020000</v>
      </c>
      <c r="G442">
        <v>4</v>
      </c>
      <c r="I442" t="str">
        <f t="shared" si="144"/>
        <v>项</v>
      </c>
      <c r="K442" t="str">
        <f>"XQZJDHSCD"</f>
        <v>XQZJDHSCD</v>
      </c>
      <c r="L442" t="str">
        <f>"TIFREXGIP"</f>
        <v>TIFREXGIP</v>
      </c>
      <c r="M442">
        <v>4</v>
      </c>
      <c r="N442">
        <v>250305002</v>
      </c>
      <c r="O442" t="str">
        <f t="shared" si="146"/>
        <v>项</v>
      </c>
      <c r="P442" t="str">
        <f t="shared" si="138"/>
        <v>检验费</v>
      </c>
    </row>
    <row r="443" spans="1:16">
      <c r="A443" t="str">
        <f>"血清间接胆红素测定"</f>
        <v>血清间接胆红素测定</v>
      </c>
      <c r="B443" t="str">
        <f>"250305003-a"</f>
        <v>250305003-a</v>
      </c>
      <c r="C443" t="str">
        <f t="shared" si="136"/>
        <v>检验</v>
      </c>
      <c r="D443" t="str">
        <f>"002503050030000"</f>
        <v>002503050030000</v>
      </c>
      <c r="G443">
        <v>5</v>
      </c>
      <c r="I443" t="str">
        <f>"-"</f>
        <v>-</v>
      </c>
      <c r="K443" t="str">
        <f>"XQJJDHSCD"</f>
        <v>XQJJDHSCD</v>
      </c>
      <c r="L443" t="str">
        <f>"TIUREXGIP"</f>
        <v>TIUREXGIP</v>
      </c>
      <c r="M443">
        <v>5</v>
      </c>
      <c r="N443" t="str">
        <f>"250305003-a"</f>
        <v>250305003-a</v>
      </c>
      <c r="O443" t="str">
        <f t="shared" si="146"/>
        <v>项</v>
      </c>
      <c r="P443" t="str">
        <f t="shared" si="138"/>
        <v>检验费</v>
      </c>
    </row>
    <row r="444" spans="1:16">
      <c r="A444" t="str">
        <f>"血清总胆汁酸测定"</f>
        <v>血清总胆汁酸测定</v>
      </c>
      <c r="B444">
        <v>250305005</v>
      </c>
      <c r="C444" t="str">
        <f t="shared" si="136"/>
        <v>检验</v>
      </c>
      <c r="D444" t="str">
        <f>"002503050050000"</f>
        <v>002503050050000</v>
      </c>
      <c r="G444">
        <v>8</v>
      </c>
      <c r="I444" t="str">
        <f t="shared" ref="I444:I449" si="147">"项"</f>
        <v>项</v>
      </c>
      <c r="K444" t="str">
        <f>"XQZDZSCD"</f>
        <v>XQZDZSCD</v>
      </c>
      <c r="L444" t="str">
        <f>"TIUEISIP"</f>
        <v>TIUEISIP</v>
      </c>
      <c r="M444">
        <v>8</v>
      </c>
      <c r="N444">
        <v>250305005</v>
      </c>
      <c r="O444" t="str">
        <f t="shared" si="146"/>
        <v>项</v>
      </c>
      <c r="P444" t="str">
        <f t="shared" si="138"/>
        <v>检验费</v>
      </c>
    </row>
    <row r="445" spans="1:16">
      <c r="A445" t="str">
        <f>"(ALT)血清丙氨酸氨基转移酶测定"</f>
        <v>(ALT)血清丙氨酸氨基转移酶测定</v>
      </c>
      <c r="B445" t="str">
        <f>"250305007-b"</f>
        <v>250305007-b</v>
      </c>
      <c r="C445" t="str">
        <f t="shared" si="136"/>
        <v>检验</v>
      </c>
      <c r="D445" t="str">
        <f>"002503050070000"</f>
        <v>002503050070000</v>
      </c>
      <c r="G445">
        <v>5</v>
      </c>
      <c r="I445" t="str">
        <f t="shared" si="147"/>
        <v>项</v>
      </c>
      <c r="K445" t="str">
        <f>"XQBASAJZYMCD"</f>
        <v>XQBASAJZYMCD</v>
      </c>
      <c r="L445" t="str">
        <f>"TIGRSRALTSIP"</f>
        <v>TIGRSRALTSIP</v>
      </c>
      <c r="M445">
        <v>5</v>
      </c>
      <c r="N445" t="str">
        <f>"250305007-b"</f>
        <v>250305007-b</v>
      </c>
      <c r="O445" t="str">
        <f t="shared" si="146"/>
        <v>项</v>
      </c>
      <c r="P445" t="str">
        <f t="shared" si="138"/>
        <v>检验费</v>
      </c>
    </row>
    <row r="446" spans="1:16">
      <c r="A446" t="str">
        <f>"(AST)血清天门冬氨酸氨基转移酶测定速率法"</f>
        <v>(AST)血清天门冬氨酸氨基转移酶测定速率法</v>
      </c>
      <c r="B446" t="str">
        <f>"250305008-b"</f>
        <v>250305008-b</v>
      </c>
      <c r="C446" t="str">
        <f t="shared" si="136"/>
        <v>检验</v>
      </c>
      <c r="D446" t="str">
        <f>"002503050080000"</f>
        <v>002503050080000</v>
      </c>
      <c r="G446">
        <v>5</v>
      </c>
      <c r="I446" t="str">
        <f t="shared" si="147"/>
        <v>项</v>
      </c>
      <c r="K446" t="str">
        <f>"XQTMDASAJZY"</f>
        <v>XQTMDASAJZY</v>
      </c>
      <c r="L446" t="str">
        <f>"ASTTIGUTRSRALTSI"</f>
        <v>ASTTIGUTRSRALTSI</v>
      </c>
      <c r="M446">
        <v>5</v>
      </c>
      <c r="N446" t="str">
        <f>"250305008-b"</f>
        <v>250305008-b</v>
      </c>
      <c r="O446" t="str">
        <f t="shared" si="146"/>
        <v>项</v>
      </c>
      <c r="P446" t="str">
        <f t="shared" si="138"/>
        <v>检验费</v>
      </c>
    </row>
    <row r="447" spans="1:16">
      <c r="A447" t="str">
        <f>"血清γ-谷氨酰基转移酶测定速率法"</f>
        <v>血清γ-谷氨酰基转移酶测定速率法</v>
      </c>
      <c r="B447" t="str">
        <f>"250305009-b"</f>
        <v>250305009-b</v>
      </c>
      <c r="C447" t="str">
        <f t="shared" si="136"/>
        <v>检验</v>
      </c>
      <c r="D447" t="str">
        <f>"002503050090000"</f>
        <v>002503050090000</v>
      </c>
      <c r="G447">
        <v>5</v>
      </c>
      <c r="I447" t="str">
        <f t="shared" si="147"/>
        <v>项</v>
      </c>
      <c r="K447" t="str">
        <f>"XQΓ-GAXJZYMCDSLF"</f>
        <v>XQΓ-GAXJZYMCDSLF</v>
      </c>
      <c r="L447" t="str">
        <f>"TI-WRSALTSIPGYI"</f>
        <v>TI-WRSALTSIPGYI</v>
      </c>
      <c r="M447">
        <v>5</v>
      </c>
      <c r="N447" t="str">
        <f>"250305009-b"</f>
        <v>250305009-b</v>
      </c>
      <c r="O447" t="str">
        <f t="shared" si="146"/>
        <v>项</v>
      </c>
      <c r="P447" t="str">
        <f t="shared" si="138"/>
        <v>检验费</v>
      </c>
    </row>
    <row r="448" spans="1:16">
      <c r="A448" t="str">
        <f>"血清碱性磷酸酶测定速率法(ALP)"</f>
        <v>血清碱性磷酸酶测定速率法(ALP)</v>
      </c>
      <c r="B448" t="str">
        <f>"250305011-b"</f>
        <v>250305011-b</v>
      </c>
      <c r="C448" t="str">
        <f t="shared" si="136"/>
        <v>检验</v>
      </c>
      <c r="D448" t="str">
        <f>"002503050110000"</f>
        <v>002503050110000</v>
      </c>
      <c r="G448">
        <v>5</v>
      </c>
      <c r="I448" t="str">
        <f t="shared" si="147"/>
        <v>项</v>
      </c>
      <c r="K448" t="str">
        <f>"XQJXLSMCDSLFALP"</f>
        <v>XQJXLSMCDSLFALP</v>
      </c>
      <c r="L448" t="str">
        <f>"TIDNDSSIPGYIALP"</f>
        <v>TIDNDSSIPGYIALP</v>
      </c>
      <c r="M448">
        <v>5</v>
      </c>
      <c r="N448" t="str">
        <f>"250305011-b"</f>
        <v>250305011-b</v>
      </c>
      <c r="O448" t="str">
        <f t="shared" si="146"/>
        <v>项</v>
      </c>
      <c r="P448" t="str">
        <f t="shared" si="138"/>
        <v>检验费</v>
      </c>
    </row>
    <row r="449" spans="1:16">
      <c r="A449" t="str">
        <f>"血清骨型碱性磷酸酶质量测定"</f>
        <v>血清骨型碱性磷酸酶质量测定</v>
      </c>
      <c r="B449" t="str">
        <f>"250305013-b"</f>
        <v>250305013-b</v>
      </c>
      <c r="C449" t="str">
        <f t="shared" si="136"/>
        <v>检验</v>
      </c>
      <c r="D449" t="str">
        <f>"002503050130000"</f>
        <v>002503050130000</v>
      </c>
      <c r="G449">
        <v>30</v>
      </c>
      <c r="I449" t="str">
        <f t="shared" si="147"/>
        <v>项</v>
      </c>
      <c r="K449" t="str">
        <f>"XQGXJXLSMZLCD"</f>
        <v>XQGXJXLSMZLCD</v>
      </c>
      <c r="L449" t="str">
        <f>"TIMGDNDSSRJIP"</f>
        <v>TIMGDNDSSRJIP</v>
      </c>
      <c r="M449">
        <v>30</v>
      </c>
      <c r="N449" t="str">
        <f>"250305013-b"</f>
        <v>250305013-b</v>
      </c>
      <c r="O449" t="str">
        <f t="shared" si="146"/>
        <v>项</v>
      </c>
      <c r="P449" t="str">
        <f t="shared" si="138"/>
        <v>检验费</v>
      </c>
    </row>
    <row r="450" spans="1:16">
      <c r="A450" t="str">
        <f>"血清胆碱脂酶测定（速率法）"</f>
        <v>血清胆碱脂酶测定（速率法）</v>
      </c>
      <c r="B450">
        <v>250305014</v>
      </c>
      <c r="C450" t="str">
        <f t="shared" si="136"/>
        <v>检验</v>
      </c>
      <c r="D450" t="str">
        <f>"002503050140000"</f>
        <v>002503050140000</v>
      </c>
      <c r="G450">
        <v>5</v>
      </c>
      <c r="I450" t="str">
        <f t="shared" ref="I450:I454" si="148">"-"</f>
        <v>-</v>
      </c>
      <c r="K450" t="str">
        <f>"XQDJZMCDSLF"</f>
        <v>XQDJZMCDSLF</v>
      </c>
      <c r="L450" t="str">
        <f>"TIEDESIPGYI"</f>
        <v>TIEDESIPGYI</v>
      </c>
      <c r="M450">
        <v>5</v>
      </c>
      <c r="N450">
        <v>250305014</v>
      </c>
      <c r="O450" t="str">
        <f t="shared" si="146"/>
        <v>项</v>
      </c>
      <c r="P450" t="str">
        <f t="shared" si="138"/>
        <v>检验费</v>
      </c>
    </row>
    <row r="451" spans="1:16">
      <c r="A451" t="str">
        <f>"腺苷脱氨酶测定"</f>
        <v>腺苷脱氨酶测定</v>
      </c>
      <c r="B451">
        <v>250305023</v>
      </c>
      <c r="C451" t="str">
        <f t="shared" si="136"/>
        <v>检验</v>
      </c>
      <c r="G451">
        <v>10</v>
      </c>
      <c r="I451" t="str">
        <f t="shared" ref="I451:I467" si="149">"项"</f>
        <v>项</v>
      </c>
      <c r="K451" t="str">
        <f>"XGTAMCD"</f>
        <v>XGTAMCD</v>
      </c>
      <c r="L451" t="str">
        <f>"EAERSIP"</f>
        <v>EAERSIP</v>
      </c>
      <c r="M451">
        <v>30</v>
      </c>
      <c r="N451">
        <v>250305023</v>
      </c>
      <c r="O451" t="str">
        <f t="shared" si="146"/>
        <v>项</v>
      </c>
      <c r="P451" t="str">
        <f t="shared" si="138"/>
        <v>检验费</v>
      </c>
    </row>
    <row r="452" spans="1:16">
      <c r="A452" t="str">
        <f>"胆酸测定"</f>
        <v>胆酸测定</v>
      </c>
      <c r="B452">
        <v>250305025</v>
      </c>
      <c r="C452" t="str">
        <f t="shared" si="136"/>
        <v>检验</v>
      </c>
      <c r="D452" t="str">
        <f>"002503050250000"</f>
        <v>002503050250000</v>
      </c>
      <c r="G452">
        <v>10</v>
      </c>
      <c r="I452" t="str">
        <f t="shared" si="148"/>
        <v>-</v>
      </c>
      <c r="K452" t="str">
        <f>"DSCD"</f>
        <v>DSCD</v>
      </c>
      <c r="L452" t="str">
        <f>"ESIP"</f>
        <v>ESIP</v>
      </c>
      <c r="M452">
        <v>10</v>
      </c>
      <c r="N452">
        <v>250305025</v>
      </c>
      <c r="O452" t="str">
        <f t="shared" si="146"/>
        <v>项</v>
      </c>
      <c r="P452" t="str">
        <f t="shared" si="138"/>
        <v>检验费</v>
      </c>
    </row>
    <row r="453" spans="1:16">
      <c r="A453" t="str">
        <f>"血清肌酸激酶测定（速率法）"</f>
        <v>血清肌酸激酶测定（速率法）</v>
      </c>
      <c r="B453" t="str">
        <f>"250306001-a"</f>
        <v>250306001-a</v>
      </c>
      <c r="C453" t="str">
        <f t="shared" si="136"/>
        <v>检验</v>
      </c>
      <c r="D453" t="str">
        <f>"002503060010000"</f>
        <v>002503060010000</v>
      </c>
      <c r="G453">
        <v>5</v>
      </c>
      <c r="I453" t="str">
        <f t="shared" si="148"/>
        <v>-</v>
      </c>
      <c r="K453" t="str">
        <f>"XQJSJMCDSLF"</f>
        <v>XQJSJMCDSLF</v>
      </c>
      <c r="L453" t="str">
        <f>"TIESISIPGYI"</f>
        <v>TIESISIPGYI</v>
      </c>
      <c r="M453">
        <v>5</v>
      </c>
      <c r="N453" t="str">
        <f>"250306001-a"</f>
        <v>250306001-a</v>
      </c>
      <c r="O453" t="str">
        <f t="shared" si="146"/>
        <v>项</v>
      </c>
      <c r="P453" t="str">
        <f t="shared" si="138"/>
        <v>检验费</v>
      </c>
    </row>
    <row r="454" spans="1:16">
      <c r="A454" t="str">
        <f>"血清肌酸激酶-MB同工酶活性测定（速率法）"</f>
        <v>血清肌酸激酶-MB同工酶活性测定（速率法）</v>
      </c>
      <c r="B454" t="str">
        <f>"250306002-b"</f>
        <v>250306002-b</v>
      </c>
      <c r="C454" t="str">
        <f t="shared" si="136"/>
        <v>检验</v>
      </c>
      <c r="D454" t="str">
        <f>"002503060020000"</f>
        <v>002503060020000</v>
      </c>
      <c r="G454">
        <v>5</v>
      </c>
      <c r="I454" t="str">
        <f t="shared" si="148"/>
        <v>-</v>
      </c>
      <c r="K454" t="str">
        <f>"XQJSJM-MBTGMHXCDSLF"</f>
        <v>XQJSJM-MBTGMHXCDSLF</v>
      </c>
      <c r="L454" t="str">
        <f>"TIESIS-MBMASINIPGYI"</f>
        <v>TIESIS-MBMASINIPGYI</v>
      </c>
      <c r="M454">
        <v>5</v>
      </c>
      <c r="N454" t="str">
        <f>"250306002-b"</f>
        <v>250306002-b</v>
      </c>
      <c r="O454" t="str">
        <f t="shared" si="146"/>
        <v>项</v>
      </c>
      <c r="P454" t="str">
        <f t="shared" si="138"/>
        <v>检验费</v>
      </c>
    </row>
    <row r="455" spans="1:16">
      <c r="A455" t="str">
        <f>"血清肌酸激酶－MB同工酶质量测定"</f>
        <v>血清肌酸激酶－MB同工酶质量测定</v>
      </c>
      <c r="B455" t="str">
        <f>"250306003-b"</f>
        <v>250306003-b</v>
      </c>
      <c r="C455" t="str">
        <f t="shared" si="136"/>
        <v>检验</v>
      </c>
      <c r="D455" t="str">
        <f>"002503060030000"</f>
        <v>002503060030000</v>
      </c>
      <c r="G455">
        <v>5</v>
      </c>
      <c r="I455" t="str">
        <f t="shared" si="149"/>
        <v>项</v>
      </c>
      <c r="K455" t="str">
        <f>"XQJSJMZMBTGMZLCD"</f>
        <v>XQJSJMZMBTGMZLCD</v>
      </c>
      <c r="L455" t="str">
        <f>"TIESISmbMASRJIP"</f>
        <v>TIESISmbMASRJIP</v>
      </c>
      <c r="M455">
        <v>70</v>
      </c>
      <c r="N455" t="str">
        <f>"250306003-b"</f>
        <v>250306003-b</v>
      </c>
      <c r="O455" t="str">
        <f t="shared" si="146"/>
        <v>项</v>
      </c>
      <c r="P455" t="str">
        <f t="shared" si="138"/>
        <v>检验费</v>
      </c>
    </row>
    <row r="456" spans="1:16">
      <c r="A456" t="str">
        <f>"(LDH)乳酸脱氢酶测定"</f>
        <v>(LDH)乳酸脱氢酶测定</v>
      </c>
      <c r="B456" t="str">
        <f>"250306005-a"</f>
        <v>250306005-a</v>
      </c>
      <c r="C456" t="str">
        <f t="shared" si="136"/>
        <v>检验</v>
      </c>
      <c r="D456" t="str">
        <f>"002503060050000"</f>
        <v>002503060050000</v>
      </c>
      <c r="G456">
        <v>5</v>
      </c>
      <c r="I456" t="str">
        <f t="shared" si="149"/>
        <v>项</v>
      </c>
      <c r="K456" t="str">
        <f>"RSTQMCD"</f>
        <v>RSTQMCD</v>
      </c>
      <c r="L456" t="str">
        <f>"ESERSIP"</f>
        <v>ESERSIP</v>
      </c>
      <c r="M456">
        <v>5</v>
      </c>
      <c r="N456" t="str">
        <f>"250306005-a"</f>
        <v>250306005-a</v>
      </c>
      <c r="O456" t="str">
        <f t="shared" si="146"/>
        <v>项</v>
      </c>
      <c r="P456" t="str">
        <f t="shared" si="138"/>
        <v>检验费</v>
      </c>
    </row>
    <row r="457" spans="1:16">
      <c r="A457" t="str">
        <f>"血清α羟基丁酸脱氢酶测定速率法"</f>
        <v>血清α羟基丁酸脱氢酶测定速率法</v>
      </c>
      <c r="B457">
        <v>250306007</v>
      </c>
      <c r="C457" t="str">
        <f t="shared" si="136"/>
        <v>检验</v>
      </c>
      <c r="D457" t="str">
        <f>"002503060070000"</f>
        <v>002503060070000</v>
      </c>
      <c r="G457">
        <v>10</v>
      </c>
      <c r="I457" t="str">
        <f t="shared" si="149"/>
        <v>项</v>
      </c>
      <c r="K457" t="str">
        <f>"XQΑQJDSTQMCDSLF"</f>
        <v>XQΑQJDSTQMCDSLF</v>
      </c>
      <c r="L457" t="str">
        <f>"TIUASSERSIPGYI"</f>
        <v>TIUASSERSIPGYI</v>
      </c>
      <c r="M457">
        <v>10</v>
      </c>
      <c r="N457">
        <v>250306007</v>
      </c>
      <c r="O457" t="str">
        <f t="shared" si="146"/>
        <v>项</v>
      </c>
      <c r="P457" t="str">
        <f t="shared" si="138"/>
        <v>检验费</v>
      </c>
    </row>
    <row r="458" spans="1:16">
      <c r="A458" t="str">
        <f>"血清肌钙蛋白T测定化学发光法"</f>
        <v>血清肌钙蛋白T测定化学发光法</v>
      </c>
      <c r="B458" t="str">
        <f>"250306008-a"</f>
        <v>250306008-a</v>
      </c>
      <c r="C458" t="str">
        <f t="shared" si="136"/>
        <v>检验</v>
      </c>
      <c r="G458">
        <v>70</v>
      </c>
      <c r="I458" t="str">
        <f t="shared" si="149"/>
        <v>项</v>
      </c>
      <c r="K458" t="str">
        <f>"XQJGDBTCDHXFGF"</f>
        <v>XQJGDBTCDHXFGF</v>
      </c>
      <c r="L458" t="str">
        <f>"TIEQNRtIPWINII"</f>
        <v>TIEQNRtIPWINII</v>
      </c>
      <c r="M458">
        <v>70</v>
      </c>
      <c r="N458" t="str">
        <f>"250306008-a"</f>
        <v>250306008-a</v>
      </c>
      <c r="O458" t="str">
        <f t="shared" si="146"/>
        <v>项</v>
      </c>
      <c r="P458" t="str">
        <f t="shared" si="138"/>
        <v>检验费</v>
      </c>
    </row>
    <row r="459" spans="1:16">
      <c r="A459" t="str">
        <f>"血清肌钙蛋白T测定（金标法）"</f>
        <v>血清肌钙蛋白T测定（金标法）</v>
      </c>
      <c r="B459" t="str">
        <f>"250306008-b"</f>
        <v>250306008-b</v>
      </c>
      <c r="C459" t="str">
        <f t="shared" si="136"/>
        <v>检验</v>
      </c>
      <c r="D459" t="str">
        <f>"002503060080000"</f>
        <v>002503060080000</v>
      </c>
      <c r="G459">
        <v>70</v>
      </c>
      <c r="I459" t="str">
        <f t="shared" si="149"/>
        <v>项</v>
      </c>
      <c r="K459" t="str">
        <f>"XQJGDBTCD（JBF）"</f>
        <v>XQJGDBTCD（JBF）</v>
      </c>
      <c r="L459" t="str">
        <f>"TIEQNRTIPQSI"</f>
        <v>TIEQNRTIPQSI</v>
      </c>
      <c r="M459">
        <v>70</v>
      </c>
      <c r="N459" t="str">
        <f>"250306008-b"</f>
        <v>250306008-b</v>
      </c>
      <c r="O459" t="str">
        <f t="shared" si="146"/>
        <v>项</v>
      </c>
      <c r="P459" t="str">
        <f t="shared" si="138"/>
        <v>检验费</v>
      </c>
    </row>
    <row r="460" spans="1:16">
      <c r="A460" t="str">
        <f>"血清肌钙蛋白Ⅰ测定金标法"</f>
        <v>血清肌钙蛋白Ⅰ测定金标法</v>
      </c>
      <c r="B460" t="str">
        <f>"250306009-b"</f>
        <v>250306009-b</v>
      </c>
      <c r="C460" t="str">
        <f t="shared" si="136"/>
        <v>检验</v>
      </c>
      <c r="D460" t="str">
        <f>"002503060090000"</f>
        <v>002503060090000</v>
      </c>
      <c r="G460">
        <v>70</v>
      </c>
      <c r="I460" t="str">
        <f t="shared" si="149"/>
        <v>项</v>
      </c>
      <c r="K460" t="str">
        <f>"XQJGDBⅠCDJBF"</f>
        <v>XQJGDBⅠCDJBF</v>
      </c>
      <c r="L460" t="str">
        <f>"TIEQNRIPQSI"</f>
        <v>TIEQNRIPQSI</v>
      </c>
      <c r="M460">
        <v>70</v>
      </c>
      <c r="N460" t="str">
        <f>"250306009-b"</f>
        <v>250306009-b</v>
      </c>
      <c r="O460" t="str">
        <f t="shared" si="146"/>
        <v>项</v>
      </c>
      <c r="P460" t="str">
        <f t="shared" si="138"/>
        <v>检验费</v>
      </c>
    </row>
    <row r="461" spans="1:16">
      <c r="A461" t="str">
        <f>"血清肌红蛋白测定荧光免疫法"</f>
        <v>血清肌红蛋白测定荧光免疫法</v>
      </c>
      <c r="B461" t="str">
        <f>"250306010-c"</f>
        <v>250306010-c</v>
      </c>
      <c r="C461" t="str">
        <f t="shared" si="136"/>
        <v>检验</v>
      </c>
      <c r="G461">
        <v>60</v>
      </c>
      <c r="I461" t="str">
        <f t="shared" si="149"/>
        <v>项</v>
      </c>
      <c r="K461" t="str">
        <f>"XQJHDBCDYGMYF"</f>
        <v>XQJHDBCDYGMYF</v>
      </c>
      <c r="L461" t="str">
        <f>"TIEXNRIPAIQUI"</f>
        <v>TIEXNRIPAIQUI</v>
      </c>
      <c r="M461">
        <v>70</v>
      </c>
      <c r="N461" t="str">
        <f>"250306010-c"</f>
        <v>250306010-c</v>
      </c>
      <c r="O461" t="str">
        <f t="shared" si="146"/>
        <v>项</v>
      </c>
      <c r="P461" t="str">
        <f t="shared" si="138"/>
        <v>检验费</v>
      </c>
    </row>
    <row r="462" spans="1:16">
      <c r="A462" t="str">
        <f>"N端-前脑钠肽（NT-PROBNP）测定"</f>
        <v>N端-前脑钠肽（NT-PROBNP）测定</v>
      </c>
      <c r="B462" t="str">
        <f>"250306013-a"</f>
        <v>250306013-a</v>
      </c>
      <c r="C462" t="str">
        <f t="shared" si="136"/>
        <v>检验</v>
      </c>
      <c r="D462" t="str">
        <f>"002503060130000"</f>
        <v>002503060130000</v>
      </c>
      <c r="G462">
        <v>150</v>
      </c>
      <c r="I462" t="str">
        <f t="shared" si="149"/>
        <v>项</v>
      </c>
      <c r="K462" t="str">
        <f>"ND-QNNTZNT-PROBNPZCD"</f>
        <v>ND-QNNTZNT-PROBNPZCD</v>
      </c>
      <c r="L462" t="str">
        <f>"nU-UEQEnt-probnpIP"</f>
        <v>nU-UEQEnt-probnpIP</v>
      </c>
      <c r="M462">
        <v>200</v>
      </c>
      <c r="N462" t="str">
        <f>"250306013-a"</f>
        <v>250306013-a</v>
      </c>
      <c r="O462" t="str">
        <f t="shared" si="146"/>
        <v>项</v>
      </c>
      <c r="P462" t="str">
        <f t="shared" si="138"/>
        <v>检验费</v>
      </c>
    </row>
    <row r="463" spans="1:16">
      <c r="A463" t="str">
        <f>"尿素测定"</f>
        <v>尿素测定</v>
      </c>
      <c r="B463">
        <v>250307001</v>
      </c>
      <c r="C463" t="str">
        <f t="shared" si="136"/>
        <v>检验</v>
      </c>
      <c r="D463" t="str">
        <f>"002503070010000"</f>
        <v>002503070010000</v>
      </c>
      <c r="G463">
        <v>4</v>
      </c>
      <c r="I463" t="str">
        <f t="shared" si="149"/>
        <v>项</v>
      </c>
      <c r="K463" t="str">
        <f>"NSCD"</f>
        <v>NSCD</v>
      </c>
      <c r="L463" t="str">
        <f>"NGIP"</f>
        <v>NGIP</v>
      </c>
      <c r="M463">
        <v>4</v>
      </c>
      <c r="N463">
        <v>250307001</v>
      </c>
      <c r="O463" t="str">
        <f t="shared" si="146"/>
        <v>项</v>
      </c>
      <c r="P463" t="str">
        <f t="shared" si="138"/>
        <v>检验费</v>
      </c>
    </row>
    <row r="464" spans="1:16">
      <c r="A464" t="str">
        <f>"肌酐测定"</f>
        <v>肌酐测定</v>
      </c>
      <c r="B464">
        <v>250307002</v>
      </c>
      <c r="C464" t="str">
        <f t="shared" si="136"/>
        <v>检验</v>
      </c>
      <c r="D464" t="str">
        <f>"002503070020000"</f>
        <v>002503070020000</v>
      </c>
      <c r="G464">
        <v>4</v>
      </c>
      <c r="I464" t="str">
        <f t="shared" si="149"/>
        <v>项</v>
      </c>
      <c r="K464" t="str">
        <f>"JGCD"</f>
        <v>JGCD</v>
      </c>
      <c r="L464" t="str">
        <f>"ESIP"</f>
        <v>ESIP</v>
      </c>
      <c r="M464">
        <v>4</v>
      </c>
      <c r="N464">
        <v>250307002</v>
      </c>
      <c r="O464" t="str">
        <f t="shared" si="146"/>
        <v>项</v>
      </c>
      <c r="P464" t="str">
        <f t="shared" si="138"/>
        <v>检验费</v>
      </c>
    </row>
    <row r="465" spans="1:16">
      <c r="A465" t="str">
        <f>"血清尿酸测定"</f>
        <v>血清尿酸测定</v>
      </c>
      <c r="B465">
        <v>250307005</v>
      </c>
      <c r="C465" t="str">
        <f t="shared" si="136"/>
        <v>检验</v>
      </c>
      <c r="D465" t="str">
        <f>"002503070050000"</f>
        <v>002503070050000</v>
      </c>
      <c r="G465">
        <v>3</v>
      </c>
      <c r="I465" t="str">
        <f t="shared" si="149"/>
        <v>项</v>
      </c>
      <c r="K465" t="str">
        <f>"XQNSCD"</f>
        <v>XQNSCD</v>
      </c>
      <c r="L465" t="str">
        <f>"TINSIP"</f>
        <v>TINSIP</v>
      </c>
      <c r="M465">
        <v>3</v>
      </c>
      <c r="N465">
        <v>250307005</v>
      </c>
      <c r="O465" t="str">
        <f t="shared" si="146"/>
        <v>项</v>
      </c>
      <c r="P465" t="str">
        <f t="shared" si="138"/>
        <v>检验费</v>
      </c>
    </row>
    <row r="466" spans="1:16">
      <c r="A466" t="str">
        <f>"尿微量白蛋白测定散射比浊法"</f>
        <v>尿微量白蛋白测定散射比浊法</v>
      </c>
      <c r="B466" t="str">
        <f>"250307006-b"</f>
        <v>250307006-b</v>
      </c>
      <c r="C466" t="str">
        <f t="shared" si="136"/>
        <v>检验</v>
      </c>
      <c r="D466" t="str">
        <f>"002503070060000"</f>
        <v>002503070060000</v>
      </c>
      <c r="G466">
        <v>35</v>
      </c>
      <c r="I466" t="str">
        <f t="shared" si="149"/>
        <v>项</v>
      </c>
      <c r="K466" t="str">
        <f>"NWLBDBCDSSBZF"</f>
        <v>NWLBDBCDSSBZF</v>
      </c>
      <c r="L466" t="str">
        <f>"NTJRNRIPATXLI"</f>
        <v>NTJRNRIPATXLI</v>
      </c>
      <c r="M466">
        <v>35</v>
      </c>
      <c r="N466" t="str">
        <f>"250307006-b"</f>
        <v>250307006-b</v>
      </c>
      <c r="O466" t="str">
        <f t="shared" si="146"/>
        <v>项</v>
      </c>
      <c r="P466" t="str">
        <f t="shared" si="138"/>
        <v>检验费</v>
      </c>
    </row>
    <row r="467" spans="1:16">
      <c r="A467" t="str">
        <f>"尿浓缩试验"</f>
        <v>尿浓缩试验</v>
      </c>
      <c r="B467">
        <v>250307017</v>
      </c>
      <c r="C467" t="str">
        <f t="shared" si="136"/>
        <v>检验</v>
      </c>
      <c r="D467" t="str">
        <f>"002503070170000"</f>
        <v>002503070170000</v>
      </c>
      <c r="G467">
        <v>10</v>
      </c>
      <c r="I467" t="str">
        <f t="shared" si="149"/>
        <v>项</v>
      </c>
      <c r="K467" t="str">
        <f>"NNSSY"</f>
        <v>NNSSY</v>
      </c>
      <c r="L467" t="str">
        <f>"NIXYC"</f>
        <v>NIXYC</v>
      </c>
      <c r="M467">
        <v>10</v>
      </c>
      <c r="N467">
        <v>250307017</v>
      </c>
      <c r="O467" t="str">
        <f t="shared" si="146"/>
        <v>项</v>
      </c>
      <c r="P467" t="str">
        <f t="shared" si="138"/>
        <v>检验费</v>
      </c>
    </row>
    <row r="468" spans="1:16">
      <c r="A468" t="str">
        <f>"血清胱抑素(CystatinC)测定"</f>
        <v>血清胱抑素(CystatinC)测定</v>
      </c>
      <c r="B468">
        <v>250307028</v>
      </c>
      <c r="C468" t="str">
        <f t="shared" si="136"/>
        <v>检验</v>
      </c>
      <c r="G468">
        <v>15</v>
      </c>
      <c r="I468" t="str">
        <f>"-"</f>
        <v>-</v>
      </c>
      <c r="K468" t="str">
        <f>"XQGYSCYSTATINCCD"</f>
        <v>XQGYSCYSTATINCCD</v>
      </c>
      <c r="L468" t="str">
        <f>"TIERGCYSTATINCIP"</f>
        <v>TIERGCYSTATINCIP</v>
      </c>
      <c r="M468">
        <v>15</v>
      </c>
      <c r="N468">
        <v>250307028</v>
      </c>
      <c r="O468" t="str">
        <f t="shared" si="146"/>
        <v>项</v>
      </c>
      <c r="P468" t="str">
        <f t="shared" si="138"/>
        <v>检验费</v>
      </c>
    </row>
    <row r="469" spans="1:16">
      <c r="A469" t="str">
        <f>"淀粉酶测定"</f>
        <v>淀粉酶测定</v>
      </c>
      <c r="B469">
        <v>250308004</v>
      </c>
      <c r="C469" t="str">
        <f t="shared" si="136"/>
        <v>检验</v>
      </c>
      <c r="D469" t="str">
        <f>"002503080040000"</f>
        <v>002503080040000</v>
      </c>
      <c r="G469">
        <v>6</v>
      </c>
      <c r="I469" t="str">
        <f>"项"</f>
        <v>项</v>
      </c>
      <c r="K469" t="str">
        <f>"DFMCD"</f>
        <v>DFMCD</v>
      </c>
      <c r="L469" t="str">
        <f>"IOSIP"</f>
        <v>IOSIP</v>
      </c>
      <c r="M469">
        <v>6</v>
      </c>
      <c r="N469">
        <v>250308004</v>
      </c>
      <c r="O469" t="str">
        <f t="shared" si="146"/>
        <v>项</v>
      </c>
      <c r="P469" t="str">
        <f t="shared" si="138"/>
        <v>检验费</v>
      </c>
    </row>
    <row r="470" spans="1:16">
      <c r="A470" t="str">
        <f>"尿淀粉酶测定（比色法、速率法）"</f>
        <v>尿淀粉酶测定（比色法、速率法）</v>
      </c>
      <c r="B470" t="str">
        <f>"250308004-1"</f>
        <v>250308004-1</v>
      </c>
      <c r="C470" t="str">
        <f t="shared" si="136"/>
        <v>检验</v>
      </c>
      <c r="D470" t="str">
        <f>"002503080040000"</f>
        <v>002503080040000</v>
      </c>
      <c r="G470">
        <v>6</v>
      </c>
      <c r="I470">
        <v>1</v>
      </c>
      <c r="K470" t="str">
        <f>"NDFMCDBSFSLF"</f>
        <v>NDFMCDBSFSLF</v>
      </c>
      <c r="L470" t="str">
        <f>"NIOSIPXQIGYI"</f>
        <v>NIOSIPXQIGYI</v>
      </c>
      <c r="M470">
        <v>6</v>
      </c>
      <c r="N470">
        <v>250308004</v>
      </c>
      <c r="O470" t="str">
        <f t="shared" si="146"/>
        <v>项</v>
      </c>
      <c r="P470" t="str">
        <f t="shared" si="138"/>
        <v>检验费</v>
      </c>
    </row>
    <row r="471" spans="1:16">
      <c r="A471" t="str">
        <f>"25羟维生素D测定"</f>
        <v>25羟维生素D测定</v>
      </c>
      <c r="B471" t="str">
        <f>"250309001-c"</f>
        <v>250309001-c</v>
      </c>
      <c r="C471" t="str">
        <f t="shared" si="136"/>
        <v>检验</v>
      </c>
      <c r="G471">
        <v>110</v>
      </c>
      <c r="I471" t="str">
        <f>"-"</f>
        <v>-</v>
      </c>
      <c r="K471" t="str">
        <f>"25WSSDCD"</f>
        <v>25WSSDCD</v>
      </c>
      <c r="L471" t="str">
        <f>"25UXTGDIP"</f>
        <v>25UXTGDIP</v>
      </c>
      <c r="M471">
        <v>110</v>
      </c>
      <c r="N471" t="str">
        <f>"250309001-c"</f>
        <v>250309001-c</v>
      </c>
      <c r="O471" t="str">
        <f t="shared" si="146"/>
        <v>项</v>
      </c>
      <c r="P471" t="str">
        <f t="shared" si="138"/>
        <v>检验费</v>
      </c>
    </row>
    <row r="472" spans="1:16">
      <c r="A472" t="str">
        <f>"血清维生素测定"</f>
        <v>血清维生素测定</v>
      </c>
      <c r="B472">
        <v>250309004</v>
      </c>
      <c r="C472" t="str">
        <f t="shared" si="136"/>
        <v>检验</v>
      </c>
      <c r="G472">
        <v>40</v>
      </c>
      <c r="I472" t="str">
        <f>"次"</f>
        <v>次</v>
      </c>
      <c r="K472" t="str">
        <f>"XQWSSCD"</f>
        <v>XQWSSCD</v>
      </c>
      <c r="L472" t="str">
        <f>"TIXTGIP"</f>
        <v>TIXTGIP</v>
      </c>
      <c r="M472">
        <v>40</v>
      </c>
      <c r="N472">
        <v>250309004</v>
      </c>
      <c r="O472" t="str">
        <f>"次"</f>
        <v>次</v>
      </c>
      <c r="P472" t="str">
        <f t="shared" si="138"/>
        <v>检验费</v>
      </c>
    </row>
    <row r="473" spans="1:16">
      <c r="A473" t="str">
        <f>"血清维生素测定-a"</f>
        <v>血清维生素测定-a</v>
      </c>
      <c r="B473" t="str">
        <f>"250309004-a"</f>
        <v>250309004-a</v>
      </c>
      <c r="C473" t="str">
        <f t="shared" si="136"/>
        <v>检验</v>
      </c>
      <c r="G473">
        <v>10</v>
      </c>
      <c r="I473" t="str">
        <f>"次"</f>
        <v>次</v>
      </c>
      <c r="K473" t="str">
        <f>"XQWSSCD-A"</f>
        <v>XQWSSCD-A</v>
      </c>
      <c r="L473" t="str">
        <f>"TIXTGIPA"</f>
        <v>TIXTGIPA</v>
      </c>
      <c r="M473">
        <v>10</v>
      </c>
      <c r="N473" t="str">
        <f>"250309004-a"</f>
        <v>250309004-a</v>
      </c>
      <c r="O473" t="str">
        <f>"次"</f>
        <v>次</v>
      </c>
      <c r="P473" t="str">
        <f t="shared" si="138"/>
        <v>检验费</v>
      </c>
    </row>
    <row r="474" spans="1:16">
      <c r="A474" t="str">
        <f>"血清促甲状腺激素测定各种免疫学方法"</f>
        <v>血清促甲状腺激素测定各种免疫学方法</v>
      </c>
      <c r="B474">
        <v>250310001</v>
      </c>
      <c r="C474" t="str">
        <f t="shared" si="136"/>
        <v>检验</v>
      </c>
      <c r="D474" t="str">
        <f>"002503100010000"</f>
        <v>002503100010000</v>
      </c>
      <c r="G474">
        <v>20</v>
      </c>
      <c r="I474" t="str">
        <f t="shared" ref="I474:I490" si="150">"项"</f>
        <v>项</v>
      </c>
      <c r="K474" t="str">
        <f>"XQCJZXJSCDGZMYXFF"</f>
        <v>XQCJZXJSCDGZMYXFF</v>
      </c>
      <c r="L474" t="str">
        <f>"TIWLUEIGIPTTQUIYI"</f>
        <v>TIWLUEIGIPTTQUIYI</v>
      </c>
      <c r="M474">
        <v>20</v>
      </c>
      <c r="N474">
        <v>250310001</v>
      </c>
      <c r="O474" t="str">
        <f t="shared" ref="O474:O490" si="151">"项"</f>
        <v>项</v>
      </c>
      <c r="P474" t="str">
        <f t="shared" si="138"/>
        <v>检验费</v>
      </c>
    </row>
    <row r="475" spans="1:16">
      <c r="A475" t="str">
        <f>"(TSH)血清促甲状腺激素测定"</f>
        <v>(TSH)血清促甲状腺激素测定</v>
      </c>
      <c r="B475" t="str">
        <f>"250310001-a"</f>
        <v>250310001-a</v>
      </c>
      <c r="C475" t="str">
        <f t="shared" si="136"/>
        <v>检验</v>
      </c>
      <c r="D475" t="str">
        <f>"002503100010000"</f>
        <v>002503100010000</v>
      </c>
      <c r="G475">
        <v>40</v>
      </c>
      <c r="I475" t="str">
        <f t="shared" si="150"/>
        <v>项</v>
      </c>
      <c r="K475" t="str">
        <f>"XQCJZXJSCD"</f>
        <v>XQCJZXJSCD</v>
      </c>
      <c r="L475" t="str">
        <f>"TIWLUEIGIP"</f>
        <v>TIWLUEIGIP</v>
      </c>
      <c r="M475">
        <v>40</v>
      </c>
      <c r="N475" t="str">
        <f>"250310001-a"</f>
        <v>250310001-a</v>
      </c>
      <c r="O475" t="str">
        <f t="shared" si="151"/>
        <v>项</v>
      </c>
      <c r="P475" t="str">
        <f t="shared" si="138"/>
        <v>检验费</v>
      </c>
    </row>
    <row r="476" spans="1:16">
      <c r="A476" t="str">
        <f>"(PRL)血清泌乳素测定"</f>
        <v>(PRL)血清泌乳素测定</v>
      </c>
      <c r="B476" t="str">
        <f>"250310002-a"</f>
        <v>250310002-a</v>
      </c>
      <c r="C476" t="str">
        <f t="shared" si="136"/>
        <v>检验</v>
      </c>
      <c r="D476" t="str">
        <f>"002503100020000"</f>
        <v>002503100020000</v>
      </c>
      <c r="G476">
        <v>45</v>
      </c>
      <c r="I476" t="str">
        <f t="shared" si="150"/>
        <v>项</v>
      </c>
      <c r="K476" t="str">
        <f>"XQMRSCD"</f>
        <v>XQMRSCD</v>
      </c>
      <c r="L476" t="str">
        <f>"TIIEGIP"</f>
        <v>TIIEGIP</v>
      </c>
      <c r="M476">
        <v>45</v>
      </c>
      <c r="N476" t="str">
        <f>"250310002-a"</f>
        <v>250310002-a</v>
      </c>
      <c r="O476" t="str">
        <f t="shared" si="151"/>
        <v>项</v>
      </c>
      <c r="P476" t="str">
        <f t="shared" si="138"/>
        <v>检验费</v>
      </c>
    </row>
    <row r="477" spans="1:16">
      <c r="A477" t="str">
        <f>"(FSH)血清促卵泡刺激素测定"</f>
        <v>(FSH)血清促卵泡刺激素测定</v>
      </c>
      <c r="B477" t="str">
        <f>"250310004-a"</f>
        <v>250310004-a</v>
      </c>
      <c r="C477" t="str">
        <f t="shared" si="136"/>
        <v>检验</v>
      </c>
      <c r="D477" t="str">
        <f>"002503100040000"</f>
        <v>002503100040000</v>
      </c>
      <c r="G477">
        <v>40</v>
      </c>
      <c r="I477" t="str">
        <f t="shared" si="150"/>
        <v>项</v>
      </c>
      <c r="K477" t="str">
        <f>"XQCLPCJSCD"</f>
        <v>XQCLPCJSCD</v>
      </c>
      <c r="L477" t="str">
        <f>"TIWQIGIGIP"</f>
        <v>TIWQIGIGIP</v>
      </c>
      <c r="M477">
        <v>40</v>
      </c>
      <c r="N477" t="str">
        <f>"250310004-a"</f>
        <v>250310004-a</v>
      </c>
      <c r="O477" t="str">
        <f t="shared" si="151"/>
        <v>项</v>
      </c>
      <c r="P477" t="str">
        <f t="shared" si="138"/>
        <v>检验费</v>
      </c>
    </row>
    <row r="478" spans="1:16">
      <c r="A478" t="str">
        <f>"(LH)血清促黄体生成素测定"</f>
        <v>(LH)血清促黄体生成素测定</v>
      </c>
      <c r="B478" t="str">
        <f>"250310005-a"</f>
        <v>250310005-a</v>
      </c>
      <c r="C478" t="str">
        <f t="shared" si="136"/>
        <v>检验</v>
      </c>
      <c r="D478" t="str">
        <f>"002503100050000"</f>
        <v>002503100050000</v>
      </c>
      <c r="G478">
        <v>40</v>
      </c>
      <c r="I478" t="str">
        <f t="shared" si="150"/>
        <v>项</v>
      </c>
      <c r="K478" t="str">
        <f>"XQCHTSCSCD"</f>
        <v>XQCHTSCSCD</v>
      </c>
      <c r="L478" t="str">
        <f>"TIWAWTDGIP"</f>
        <v>TIWAWTDGIP</v>
      </c>
      <c r="M478">
        <v>40</v>
      </c>
      <c r="N478" t="str">
        <f>"250310005-a"</f>
        <v>250310005-a</v>
      </c>
      <c r="O478" t="str">
        <f t="shared" si="151"/>
        <v>项</v>
      </c>
      <c r="P478" t="str">
        <f t="shared" si="138"/>
        <v>检验费</v>
      </c>
    </row>
    <row r="479" spans="1:16">
      <c r="A479" t="str">
        <f>"降钙素测定（化学发光法）"</f>
        <v>降钙素测定（化学发光法）</v>
      </c>
      <c r="B479" t="str">
        <f>"250310008-a"</f>
        <v>250310008-a</v>
      </c>
      <c r="C479" t="str">
        <f t="shared" si="136"/>
        <v>检验</v>
      </c>
      <c r="G479">
        <v>60</v>
      </c>
      <c r="I479" t="str">
        <f t="shared" si="150"/>
        <v>项</v>
      </c>
      <c r="K479" t="str">
        <f>"JGSCD（HXFGF）"</f>
        <v>JGSCD（HXFGF）</v>
      </c>
      <c r="L479" t="str">
        <f>"BQGIPWINII"</f>
        <v>BQGIPWINII</v>
      </c>
      <c r="M479">
        <v>60</v>
      </c>
      <c r="N479" t="str">
        <f>"250310008-a"</f>
        <v>250310008-a</v>
      </c>
      <c r="O479" t="str">
        <f t="shared" si="151"/>
        <v>项</v>
      </c>
      <c r="P479" t="str">
        <f t="shared" si="138"/>
        <v>检验费</v>
      </c>
    </row>
    <row r="480" spans="1:16">
      <c r="A480" t="str">
        <f>"甲状旁腺激素测定"</f>
        <v>甲状旁腺激素测定</v>
      </c>
      <c r="B480" t="str">
        <f>"250310009-a"</f>
        <v>250310009-a</v>
      </c>
      <c r="C480" t="str">
        <f t="shared" si="136"/>
        <v>检验</v>
      </c>
      <c r="G480">
        <v>40</v>
      </c>
      <c r="I480" t="str">
        <f t="shared" si="150"/>
        <v>项</v>
      </c>
      <c r="K480" t="str">
        <f>"JZPXJSCD"</f>
        <v>JZPXJSCD</v>
      </c>
      <c r="L480" t="str">
        <f>"LUUEIGIP"</f>
        <v>LUUEIGIP</v>
      </c>
      <c r="M480">
        <v>40</v>
      </c>
      <c r="N480" t="str">
        <f>"250310009-a"</f>
        <v>250310009-a</v>
      </c>
      <c r="O480" t="str">
        <f t="shared" si="151"/>
        <v>项</v>
      </c>
      <c r="P480" t="str">
        <f t="shared" si="138"/>
        <v>检验费</v>
      </c>
    </row>
    <row r="481" spans="1:16">
      <c r="A481" t="str">
        <f>"血清甲状腺素(T4)测定"</f>
        <v>血清甲状腺素(T4)测定</v>
      </c>
      <c r="B481" t="str">
        <f>"250310010-a"</f>
        <v>250310010-a</v>
      </c>
      <c r="C481" t="str">
        <f t="shared" ref="C481:C544" si="152">"检验"</f>
        <v>检验</v>
      </c>
      <c r="D481" t="str">
        <f>"002503100100000"</f>
        <v>002503100100000</v>
      </c>
      <c r="G481">
        <v>40</v>
      </c>
      <c r="I481" t="str">
        <f t="shared" si="150"/>
        <v>项</v>
      </c>
      <c r="K481" t="str">
        <f>"XQJZXS(T4)CD"</f>
        <v>XQJZXS(T4)CD</v>
      </c>
      <c r="L481" t="str">
        <f>"TILUEG(t4)IP"</f>
        <v>TILUEG(t4)IP</v>
      </c>
      <c r="M481">
        <v>40</v>
      </c>
      <c r="N481" t="str">
        <f>"250310010-a"</f>
        <v>250310010-a</v>
      </c>
      <c r="O481" t="str">
        <f t="shared" si="151"/>
        <v>项</v>
      </c>
      <c r="P481" t="str">
        <f t="shared" ref="P481:P544" si="153">"检验费"</f>
        <v>检验费</v>
      </c>
    </row>
    <row r="482" spans="1:16">
      <c r="A482" t="str">
        <f>"血清三碘甲状原氨酸(T3)测定"</f>
        <v>血清三碘甲状原氨酸(T3)测定</v>
      </c>
      <c r="B482" t="str">
        <f>"250310011-a"</f>
        <v>250310011-a</v>
      </c>
      <c r="C482" t="str">
        <f t="shared" si="152"/>
        <v>检验</v>
      </c>
      <c r="D482" t="str">
        <f>"002503100110000"</f>
        <v>002503100110000</v>
      </c>
      <c r="G482">
        <v>40</v>
      </c>
      <c r="I482" t="str">
        <f t="shared" si="150"/>
        <v>项</v>
      </c>
      <c r="K482" t="str">
        <f>"XQSDJZYAS(T3)CD"</f>
        <v>XQSDJZYAS(T3)CD</v>
      </c>
      <c r="L482" t="str">
        <f>"TIDDLUDRS(t3)IP"</f>
        <v>TIDDLUDRS(t3)IP</v>
      </c>
      <c r="M482">
        <v>40</v>
      </c>
      <c r="N482" t="str">
        <f>"250310011-a"</f>
        <v>250310011-a</v>
      </c>
      <c r="O482" t="str">
        <f t="shared" si="151"/>
        <v>项</v>
      </c>
      <c r="P482" t="str">
        <f t="shared" si="153"/>
        <v>检验费</v>
      </c>
    </row>
    <row r="483" spans="1:16">
      <c r="A483" t="str">
        <f>"血清游离甲状腺素(FT4)测定"</f>
        <v>血清游离甲状腺素(FT4)测定</v>
      </c>
      <c r="B483" t="str">
        <f>"250310013-a"</f>
        <v>250310013-a</v>
      </c>
      <c r="C483" t="str">
        <f t="shared" si="152"/>
        <v>检验</v>
      </c>
      <c r="D483" t="str">
        <f>"002503100130000"</f>
        <v>002503100130000</v>
      </c>
      <c r="G483">
        <v>40</v>
      </c>
      <c r="I483" t="str">
        <f t="shared" si="150"/>
        <v>项</v>
      </c>
      <c r="K483" t="str">
        <f>"XQYLJZXS(FT4)CD"</f>
        <v>XQYLJZXS(FT4)CD</v>
      </c>
      <c r="L483" t="str">
        <f>"TIIYLUEG(ft4)IP"</f>
        <v>TIIYLUEG(ft4)IP</v>
      </c>
      <c r="M483">
        <v>40</v>
      </c>
      <c r="N483" t="str">
        <f>"250310013-a"</f>
        <v>250310013-a</v>
      </c>
      <c r="O483" t="str">
        <f t="shared" si="151"/>
        <v>项</v>
      </c>
      <c r="P483" t="str">
        <f t="shared" si="153"/>
        <v>检验费</v>
      </c>
    </row>
    <row r="484" spans="1:16">
      <c r="A484" t="str">
        <f>"血清游离三碘甲状原氨酸(FT3)测定"</f>
        <v>血清游离三碘甲状原氨酸(FT3)测定</v>
      </c>
      <c r="B484" t="str">
        <f>"250310014-a"</f>
        <v>250310014-a</v>
      </c>
      <c r="C484" t="str">
        <f t="shared" si="152"/>
        <v>检验</v>
      </c>
      <c r="D484" t="str">
        <f>"002503100140000"</f>
        <v>002503100140000</v>
      </c>
      <c r="G484">
        <v>40</v>
      </c>
      <c r="I484" t="str">
        <f t="shared" si="150"/>
        <v>项</v>
      </c>
      <c r="K484" t="str">
        <f>"XQYLSDJZYAS(FT3)CD"</f>
        <v>XQYLSDJZYAS(FT3)CD</v>
      </c>
      <c r="L484" t="str">
        <f>"TIIYDDLUDRS(ft3)IP"</f>
        <v>TIIYDDLUDRS(ft3)IP</v>
      </c>
      <c r="M484">
        <v>40</v>
      </c>
      <c r="N484" t="str">
        <f>"250310014-a"</f>
        <v>250310014-a</v>
      </c>
      <c r="O484" t="str">
        <f t="shared" si="151"/>
        <v>项</v>
      </c>
      <c r="P484" t="str">
        <f t="shared" si="153"/>
        <v>检验费</v>
      </c>
    </row>
    <row r="485" spans="1:16">
      <c r="A485" t="str">
        <f>"(TRAB)促甲状腺素受体抗体测定"</f>
        <v>(TRAB)促甲状腺素受体抗体测定</v>
      </c>
      <c r="B485" t="str">
        <f>"250310017-a"</f>
        <v>250310017-a</v>
      </c>
      <c r="C485" t="str">
        <f t="shared" si="152"/>
        <v>检验</v>
      </c>
      <c r="D485" t="str">
        <f>"002503100170000"</f>
        <v>002503100170000</v>
      </c>
      <c r="G485">
        <v>60</v>
      </c>
      <c r="I485" t="str">
        <f t="shared" si="150"/>
        <v>项</v>
      </c>
      <c r="K485" t="str">
        <f>"CJZXSSTKTCD"</f>
        <v>CJZXSSTKTCD</v>
      </c>
      <c r="L485" t="str">
        <f>"WLUEGEWRWIP"</f>
        <v>WLUEGEWRWIP</v>
      </c>
      <c r="M485">
        <v>60</v>
      </c>
      <c r="N485" t="str">
        <f>"250310017-a"</f>
        <v>250310017-a</v>
      </c>
      <c r="O485" t="str">
        <f t="shared" si="151"/>
        <v>项</v>
      </c>
      <c r="P485" t="str">
        <f t="shared" si="153"/>
        <v>检验费</v>
      </c>
    </row>
    <row r="486" spans="1:16">
      <c r="A486" t="str">
        <f>"(T)睾酮测定"</f>
        <v>(T)睾酮测定</v>
      </c>
      <c r="B486" t="str">
        <f>"250310030-a"</f>
        <v>250310030-a</v>
      </c>
      <c r="C486" t="str">
        <f t="shared" si="152"/>
        <v>检验</v>
      </c>
      <c r="D486" t="str">
        <f>"002503100300000"</f>
        <v>002503100300000</v>
      </c>
      <c r="G486">
        <v>60</v>
      </c>
      <c r="I486" t="str">
        <f t="shared" si="150"/>
        <v>项</v>
      </c>
      <c r="K486" t="str">
        <f>"GTCD"</f>
        <v>GTCD</v>
      </c>
      <c r="L486" t="str">
        <f>"TSIP"</f>
        <v>TSIP</v>
      </c>
      <c r="M486">
        <v>60</v>
      </c>
      <c r="N486" t="str">
        <f>"250310030-a"</f>
        <v>250310030-a</v>
      </c>
      <c r="O486" t="str">
        <f t="shared" si="151"/>
        <v>项</v>
      </c>
      <c r="P486" t="str">
        <f t="shared" si="153"/>
        <v>检验费</v>
      </c>
    </row>
    <row r="487" spans="1:16">
      <c r="A487" t="str">
        <f>"17α羟孕酮测定（化学发光法、荧光免疫法）"</f>
        <v>17α羟孕酮测定（化学发光法、荧光免疫法）</v>
      </c>
      <c r="B487" t="str">
        <f>"250310033-a"</f>
        <v>250310033-a</v>
      </c>
      <c r="C487" t="str">
        <f t="shared" si="152"/>
        <v>检验</v>
      </c>
      <c r="D487" t="str">
        <f>"002503100330000"</f>
        <v>002503100330000</v>
      </c>
      <c r="G487">
        <v>35</v>
      </c>
      <c r="I487" t="str">
        <f t="shared" si="150"/>
        <v>项</v>
      </c>
      <c r="K487" t="str">
        <f>"17ΑQYTCD（HXFGF、Y"</f>
        <v>17ΑQYTCD（HXFGF、Y</v>
      </c>
      <c r="L487" t="str">
        <f>"17UESIPWINIIAIQU"</f>
        <v>17UESIPWINIIAIQU</v>
      </c>
      <c r="M487">
        <v>35</v>
      </c>
      <c r="N487" t="str">
        <f>"250310033-a"</f>
        <v>250310033-a</v>
      </c>
      <c r="O487" t="str">
        <f t="shared" si="151"/>
        <v>项</v>
      </c>
      <c r="P487" t="str">
        <f t="shared" si="153"/>
        <v>检验费</v>
      </c>
    </row>
    <row r="488" spans="1:16">
      <c r="A488" t="str">
        <f>"(E2)雌二醇测定"</f>
        <v>(E2)雌二醇测定</v>
      </c>
      <c r="B488" t="str">
        <f>"250310036-a"</f>
        <v>250310036-a</v>
      </c>
      <c r="C488" t="str">
        <f t="shared" si="152"/>
        <v>检验</v>
      </c>
      <c r="D488" t="str">
        <f>"002503100360000"</f>
        <v>002503100360000</v>
      </c>
      <c r="G488">
        <v>60</v>
      </c>
      <c r="I488" t="str">
        <f t="shared" si="150"/>
        <v>项</v>
      </c>
      <c r="K488" t="str">
        <f>"(E2)CECCD"</f>
        <v>(E2)CECCD</v>
      </c>
      <c r="L488" t="str">
        <f>"E2HFSIP"</f>
        <v>E2HFSIP</v>
      </c>
      <c r="M488">
        <v>60</v>
      </c>
      <c r="N488" t="str">
        <f>"250310036-a"</f>
        <v>250310036-a</v>
      </c>
      <c r="O488" t="str">
        <f t="shared" si="151"/>
        <v>项</v>
      </c>
      <c r="P488" t="str">
        <f t="shared" si="153"/>
        <v>检验费</v>
      </c>
    </row>
    <row r="489" spans="1:16">
      <c r="A489" t="str">
        <f>"(P)孕酮测定"</f>
        <v>(P)孕酮测定</v>
      </c>
      <c r="B489" t="str">
        <f>"250310037-a"</f>
        <v>250310037-a</v>
      </c>
      <c r="C489" t="str">
        <f t="shared" si="152"/>
        <v>检验</v>
      </c>
      <c r="D489" t="str">
        <f>"002503100370000"</f>
        <v>002503100370000</v>
      </c>
      <c r="G489">
        <v>60</v>
      </c>
      <c r="I489" t="str">
        <f t="shared" si="150"/>
        <v>项</v>
      </c>
      <c r="K489" t="str">
        <f>"YTCD"</f>
        <v>YTCD</v>
      </c>
      <c r="L489" t="str">
        <f>"ESIP"</f>
        <v>ESIP</v>
      </c>
      <c r="M489">
        <v>60</v>
      </c>
      <c r="N489" t="str">
        <f>"250310037-a"</f>
        <v>250310037-a</v>
      </c>
      <c r="O489" t="str">
        <f t="shared" si="151"/>
        <v>项</v>
      </c>
      <c r="P489" t="str">
        <f t="shared" si="153"/>
        <v>检验费</v>
      </c>
    </row>
    <row r="490" spans="1:16">
      <c r="A490" t="str">
        <f>"(HCG)血清人绒毛膜促性腺激素测定"</f>
        <v>(HCG)血清人绒毛膜促性腺激素测定</v>
      </c>
      <c r="B490" t="str">
        <f>"250310038-a"</f>
        <v>250310038-a</v>
      </c>
      <c r="C490" t="str">
        <f t="shared" si="152"/>
        <v>检验</v>
      </c>
      <c r="D490" t="str">
        <f>"002503100380000"</f>
        <v>002503100380000</v>
      </c>
      <c r="G490">
        <v>40</v>
      </c>
      <c r="I490" t="str">
        <f t="shared" si="150"/>
        <v>项</v>
      </c>
      <c r="K490" t="str">
        <f>"HCG)XQRRMMCXXJSC"</f>
        <v>HCG)XQRRMMCXXJSC</v>
      </c>
      <c r="L490" t="str">
        <f>"HCGTIWXTEWNEIGIP"</f>
        <v>HCGTIWXTEWNEIGIP</v>
      </c>
      <c r="M490">
        <v>40</v>
      </c>
      <c r="N490" t="str">
        <f>"250310038-a"</f>
        <v>250310038-a</v>
      </c>
      <c r="O490" t="str">
        <f t="shared" si="151"/>
        <v>项</v>
      </c>
      <c r="P490" t="str">
        <f t="shared" si="153"/>
        <v>检验费</v>
      </c>
    </row>
    <row r="491" spans="1:16">
      <c r="A491" t="str">
        <f>"人绒毛膜促性腺激素(HCG)定量测定"</f>
        <v>人绒毛膜促性腺激素(HCG)定量测定</v>
      </c>
      <c r="B491" t="str">
        <f>"250310038-b"</f>
        <v>250310038-b</v>
      </c>
      <c r="C491" t="str">
        <f t="shared" si="152"/>
        <v>检验</v>
      </c>
      <c r="D491" t="str">
        <f>"002503100380000"</f>
        <v>002503100380000</v>
      </c>
      <c r="G491">
        <v>15</v>
      </c>
      <c r="I491" t="str">
        <f>"例"</f>
        <v>例</v>
      </c>
      <c r="K491" t="str">
        <f>"RRMMCXXJS(HCG)DLCD"</f>
        <v>RRMMCXXJS(HCG)DLCD</v>
      </c>
      <c r="L491" t="str">
        <f>"WXTEWNEIG(hcg)PJIP"</f>
        <v>WXTEWNEIG(hcg)PJIP</v>
      </c>
      <c r="M491">
        <v>35</v>
      </c>
      <c r="N491" t="str">
        <f>"250310038-b"</f>
        <v>250310038-b</v>
      </c>
      <c r="O491" t="str">
        <f>"例"</f>
        <v>例</v>
      </c>
      <c r="P491" t="str">
        <f t="shared" si="153"/>
        <v>检验费</v>
      </c>
    </row>
    <row r="492" spans="1:16">
      <c r="A492" t="str">
        <f>"血清胰岛素测定（各种免疫学方法）"</f>
        <v>血清胰岛素测定（各种免疫学方法）</v>
      </c>
      <c r="B492">
        <v>250310039</v>
      </c>
      <c r="C492" t="str">
        <f t="shared" si="152"/>
        <v>检验</v>
      </c>
      <c r="D492" t="str">
        <f>"002503100390000"</f>
        <v>002503100390000</v>
      </c>
      <c r="G492">
        <v>10</v>
      </c>
      <c r="I492" t="str">
        <f t="shared" ref="I492:I499" si="154">"项"</f>
        <v>项</v>
      </c>
      <c r="K492" t="str">
        <f>"XQYDSCD（GZMYXFF）"</f>
        <v>XQYDSCD（GZMYXFF）</v>
      </c>
      <c r="L492" t="str">
        <f>"TIEQGIPTTQUIYI"</f>
        <v>TIEQGIPTTQUIYI</v>
      </c>
      <c r="M492">
        <v>10</v>
      </c>
      <c r="N492">
        <v>250310039</v>
      </c>
      <c r="O492" t="str">
        <f t="shared" ref="O492:O502" si="155">"项"</f>
        <v>项</v>
      </c>
      <c r="P492" t="str">
        <f t="shared" si="153"/>
        <v>检验费</v>
      </c>
    </row>
    <row r="493" spans="1:16">
      <c r="A493" t="str">
        <f>"(INS)血清胰岛素测定"</f>
        <v>(INS)血清胰岛素测定</v>
      </c>
      <c r="B493" t="str">
        <f>"250310039-a"</f>
        <v>250310039-a</v>
      </c>
      <c r="C493" t="str">
        <f t="shared" si="152"/>
        <v>检验</v>
      </c>
      <c r="D493" t="str">
        <f>"002503100390000"</f>
        <v>002503100390000</v>
      </c>
      <c r="G493">
        <v>40</v>
      </c>
      <c r="I493" t="str">
        <f t="shared" si="154"/>
        <v>项</v>
      </c>
      <c r="K493" t="str">
        <f>"XQYDSCD"</f>
        <v>XQYDSCD</v>
      </c>
      <c r="L493" t="str">
        <f>"TIEQGIP"</f>
        <v>TIEQGIP</v>
      </c>
      <c r="M493">
        <v>40</v>
      </c>
      <c r="N493" t="str">
        <f>"250310039-a"</f>
        <v>250310039-a</v>
      </c>
      <c r="O493" t="str">
        <f t="shared" si="155"/>
        <v>项</v>
      </c>
      <c r="P493" t="str">
        <f t="shared" si="153"/>
        <v>检验费</v>
      </c>
    </row>
    <row r="494" spans="1:16">
      <c r="A494" t="str">
        <f>"血清胰高血糖测定（各种免疫学方法）"</f>
        <v>血清胰高血糖测定（各种免疫学方法）</v>
      </c>
      <c r="B494">
        <v>250310040</v>
      </c>
      <c r="C494" t="str">
        <f t="shared" si="152"/>
        <v>检验</v>
      </c>
      <c r="D494" t="str">
        <f>"002503100400000"</f>
        <v>002503100400000</v>
      </c>
      <c r="G494">
        <v>20</v>
      </c>
      <c r="I494" t="str">
        <f t="shared" si="154"/>
        <v>项</v>
      </c>
      <c r="K494" t="str">
        <f>"XQYGXTCD（GZMYXFF"</f>
        <v>XQYGXTCD（GZMYXFF</v>
      </c>
      <c r="L494" t="str">
        <f>"TIEYTOIPTTQUIYI"</f>
        <v>TIEYTOIPTTQUIYI</v>
      </c>
      <c r="M494">
        <v>20</v>
      </c>
      <c r="N494">
        <v>250310040</v>
      </c>
      <c r="O494" t="str">
        <f t="shared" si="155"/>
        <v>项</v>
      </c>
      <c r="P494" t="str">
        <f t="shared" si="153"/>
        <v>检验费</v>
      </c>
    </row>
    <row r="495" spans="1:16">
      <c r="A495" t="str">
        <f>"(CP)血清C肽测定"</f>
        <v>(CP)血清C肽测定</v>
      </c>
      <c r="B495" t="str">
        <f>"250310041-a"</f>
        <v>250310041-a</v>
      </c>
      <c r="C495" t="str">
        <f t="shared" si="152"/>
        <v>检验</v>
      </c>
      <c r="D495" t="str">
        <f>"002503100410000"</f>
        <v>002503100410000</v>
      </c>
      <c r="G495">
        <v>60</v>
      </c>
      <c r="I495" t="str">
        <f t="shared" si="154"/>
        <v>项</v>
      </c>
      <c r="K495" t="str">
        <f>"XQCTCD"</f>
        <v>XQCTCD</v>
      </c>
      <c r="L495" t="str">
        <f>"TIcEIP"</f>
        <v>TIcEIP</v>
      </c>
      <c r="M495">
        <v>60</v>
      </c>
      <c r="N495" t="str">
        <f>"250310041-a"</f>
        <v>250310041-a</v>
      </c>
      <c r="O495" t="str">
        <f t="shared" si="155"/>
        <v>项</v>
      </c>
      <c r="P495" t="str">
        <f t="shared" si="153"/>
        <v>检验费</v>
      </c>
    </row>
    <row r="496" spans="1:16">
      <c r="A496" t="str">
        <f>"血清抗谷氨酸脱羧酶抗体测定"</f>
        <v>血清抗谷氨酸脱羧酶抗体测定</v>
      </c>
      <c r="B496" t="str">
        <f>"250310043-a"</f>
        <v>250310043-a</v>
      </c>
      <c r="C496" t="str">
        <f t="shared" si="152"/>
        <v>检验</v>
      </c>
      <c r="G496">
        <v>60</v>
      </c>
      <c r="I496" t="str">
        <f t="shared" si="154"/>
        <v>项</v>
      </c>
      <c r="K496" t="str">
        <f>"XQKGASTSMKTCD"</f>
        <v>XQKGASTSMKTCD</v>
      </c>
      <c r="L496" t="str">
        <f>"TIRWRSEUSRWIP"</f>
        <v>TIRWRSEUSRWIP</v>
      </c>
      <c r="M496">
        <v>60</v>
      </c>
      <c r="N496" t="str">
        <f>"250310043-a"</f>
        <v>250310043-a</v>
      </c>
      <c r="O496" t="str">
        <f t="shared" si="155"/>
        <v>项</v>
      </c>
      <c r="P496" t="str">
        <f t="shared" si="153"/>
        <v>检验费</v>
      </c>
    </row>
    <row r="497" spans="1:16">
      <c r="A497" t="str">
        <f>"甲状腺球蛋白测定"</f>
        <v>甲状腺球蛋白测定</v>
      </c>
      <c r="B497" t="str">
        <f>"250310053-a"</f>
        <v>250310053-a</v>
      </c>
      <c r="C497" t="str">
        <f t="shared" si="152"/>
        <v>检验</v>
      </c>
      <c r="G497">
        <v>60</v>
      </c>
      <c r="I497" t="str">
        <f t="shared" si="154"/>
        <v>项</v>
      </c>
      <c r="K497" t="str">
        <f>"JZXQDBCD"</f>
        <v>JZXQDBCD</v>
      </c>
      <c r="L497" t="str">
        <f>"LUEGNRIP"</f>
        <v>LUEGNRIP</v>
      </c>
      <c r="M497">
        <v>60</v>
      </c>
      <c r="N497" t="str">
        <f>"250310053-a"</f>
        <v>250310053-a</v>
      </c>
      <c r="O497" t="str">
        <f t="shared" si="155"/>
        <v>项</v>
      </c>
      <c r="P497" t="str">
        <f t="shared" si="153"/>
        <v>检验费</v>
      </c>
    </row>
    <row r="498" spans="1:16">
      <c r="A498" t="str">
        <f>"细胞因子测定"</f>
        <v>细胞因子测定</v>
      </c>
      <c r="B498" t="str">
        <f>"250401014-a"</f>
        <v>250401014-a</v>
      </c>
      <c r="C498" t="str">
        <f t="shared" si="152"/>
        <v>检验</v>
      </c>
      <c r="G498">
        <v>30</v>
      </c>
      <c r="I498" t="str">
        <f t="shared" si="154"/>
        <v>项</v>
      </c>
      <c r="K498" t="str">
        <f>"XBYZCD"</f>
        <v>XBYZCD</v>
      </c>
      <c r="L498" t="str">
        <f>"XELBIP"</f>
        <v>XELBIP</v>
      </c>
      <c r="M498">
        <v>30</v>
      </c>
      <c r="N498" t="str">
        <f>"250401014-a"</f>
        <v>250401014-a</v>
      </c>
      <c r="O498" t="str">
        <f t="shared" si="155"/>
        <v>项</v>
      </c>
      <c r="P498" t="str">
        <f t="shared" si="153"/>
        <v>检验费</v>
      </c>
    </row>
    <row r="499" spans="1:16">
      <c r="A499" t="str">
        <f>"单项补体测定"</f>
        <v>单项补体测定</v>
      </c>
      <c r="B499">
        <v>250401020</v>
      </c>
      <c r="C499" t="str">
        <f t="shared" si="152"/>
        <v>检验</v>
      </c>
      <c r="G499">
        <v>20</v>
      </c>
      <c r="I499" t="str">
        <f t="shared" si="154"/>
        <v>项</v>
      </c>
      <c r="K499" t="str">
        <f>"DXBTCD"</f>
        <v>DXBTCD</v>
      </c>
      <c r="L499" t="str">
        <f>"UAPWIP"</f>
        <v>UAPWIP</v>
      </c>
      <c r="M499">
        <v>20</v>
      </c>
      <c r="N499">
        <v>250401020</v>
      </c>
      <c r="O499" t="str">
        <f t="shared" si="155"/>
        <v>项</v>
      </c>
      <c r="P499" t="str">
        <f t="shared" si="153"/>
        <v>检验费</v>
      </c>
    </row>
    <row r="500" spans="1:16">
      <c r="A500" t="str">
        <f>"免疫球蛋白IgA定量测定（散射比浊法）"</f>
        <v>免疫球蛋白IgA定量测定（散射比浊法）</v>
      </c>
      <c r="B500" t="str">
        <f>"250401023-a"</f>
        <v>250401023-a</v>
      </c>
      <c r="C500" t="str">
        <f t="shared" si="152"/>
        <v>检验</v>
      </c>
      <c r="G500">
        <v>20</v>
      </c>
      <c r="I500" t="str">
        <f t="shared" ref="I500:I503" si="156">"次"</f>
        <v>次</v>
      </c>
      <c r="K500" t="str">
        <f>"MYQDBIGADLCDSSBZ"</f>
        <v>MYQDBIGADLCDSSBZ</v>
      </c>
      <c r="L500" t="str">
        <f>"QUGNRIGAPJIPATXI"</f>
        <v>QUGNRIGAPJIPATXI</v>
      </c>
      <c r="M500">
        <v>20</v>
      </c>
      <c r="N500" t="str">
        <f t="shared" ref="N500:N502" si="157">"250401023-a"</f>
        <v>250401023-a</v>
      </c>
      <c r="O500" t="str">
        <f t="shared" si="155"/>
        <v>项</v>
      </c>
      <c r="P500" t="str">
        <f t="shared" si="153"/>
        <v>检验费</v>
      </c>
    </row>
    <row r="501" spans="1:16">
      <c r="A501" t="str">
        <f>"免疫球蛋白IgG定量测定（散射比浊法）"</f>
        <v>免疫球蛋白IgG定量测定（散射比浊法）</v>
      </c>
      <c r="B501" t="str">
        <f>"250401023-a-2"</f>
        <v>250401023-a-2</v>
      </c>
      <c r="C501" t="str">
        <f t="shared" si="152"/>
        <v>检验</v>
      </c>
      <c r="G501">
        <v>20</v>
      </c>
      <c r="I501" t="str">
        <f t="shared" si="156"/>
        <v>次</v>
      </c>
      <c r="K501" t="str">
        <f>"MYQDBIGGDLCDSSBZ"</f>
        <v>MYQDBIGGDLCDSSBZ</v>
      </c>
      <c r="L501" t="str">
        <f>"QUGNRIGGPJIPATXI"</f>
        <v>QUGNRIGGPJIPATXI</v>
      </c>
      <c r="M501">
        <v>20</v>
      </c>
      <c r="N501" t="str">
        <f t="shared" si="157"/>
        <v>250401023-a</v>
      </c>
      <c r="O501" t="str">
        <f t="shared" si="155"/>
        <v>项</v>
      </c>
      <c r="P501" t="str">
        <f t="shared" si="153"/>
        <v>检验费</v>
      </c>
    </row>
    <row r="502" spans="1:16">
      <c r="A502" t="str">
        <f>"免疫球蛋白IgM定量测定（散射比浊法）"</f>
        <v>免疫球蛋白IgM定量测定（散射比浊法）</v>
      </c>
      <c r="B502" t="str">
        <f>"250401023-a-3"</f>
        <v>250401023-a-3</v>
      </c>
      <c r="C502" t="str">
        <f t="shared" si="152"/>
        <v>检验</v>
      </c>
      <c r="G502">
        <v>20</v>
      </c>
      <c r="I502" t="str">
        <f t="shared" si="156"/>
        <v>次</v>
      </c>
      <c r="K502" t="str">
        <f>"MYQDBIGMDLCDSSBZ"</f>
        <v>MYQDBIGMDLCDSSBZ</v>
      </c>
      <c r="L502" t="str">
        <f>"QUGNRIGMPJIPATXI"</f>
        <v>QUGNRIGMPJIPATXI</v>
      </c>
      <c r="M502">
        <v>20</v>
      </c>
      <c r="N502" t="str">
        <f t="shared" si="157"/>
        <v>250401023-a</v>
      </c>
      <c r="O502" t="str">
        <f t="shared" si="155"/>
        <v>项</v>
      </c>
      <c r="P502" t="str">
        <f t="shared" si="153"/>
        <v>检验费</v>
      </c>
    </row>
    <row r="503" spans="1:16">
      <c r="A503" t="str">
        <f>"抗核抗体测定(ANA)（免疫学法）"</f>
        <v>抗核抗体测定(ANA)（免疫学法）</v>
      </c>
      <c r="B503" t="str">
        <f>"250402002-a"</f>
        <v>250402002-a</v>
      </c>
      <c r="C503" t="str">
        <f t="shared" si="152"/>
        <v>检验</v>
      </c>
      <c r="G503">
        <v>30</v>
      </c>
      <c r="I503" t="str">
        <f t="shared" si="156"/>
        <v>次</v>
      </c>
      <c r="K503" t="str">
        <f>"KHKTCDANAMYXF"</f>
        <v>KHKTCDANAMYXF</v>
      </c>
      <c r="L503" t="str">
        <f>"RSRWIPANAQUII"</f>
        <v>RSRWIPANAQUII</v>
      </c>
      <c r="M503">
        <v>30</v>
      </c>
      <c r="N503" t="str">
        <f>"250402002-a"</f>
        <v>250402002-a</v>
      </c>
      <c r="O503" t="str">
        <f>"次"</f>
        <v>次</v>
      </c>
      <c r="P503" t="str">
        <f t="shared" si="153"/>
        <v>检验费</v>
      </c>
    </row>
    <row r="504" spans="1:16">
      <c r="A504" t="str">
        <f>"抗核提取物抗体测定（抗JO-1)"</f>
        <v>抗核提取物抗体测定（抗JO-1)</v>
      </c>
      <c r="B504" t="str">
        <f>"250402003-2"</f>
        <v>250402003-2</v>
      </c>
      <c r="C504" t="str">
        <f t="shared" si="152"/>
        <v>检验</v>
      </c>
      <c r="G504">
        <v>20</v>
      </c>
      <c r="I504">
        <v>1</v>
      </c>
      <c r="K504" t="str">
        <f>"KHTQWKTCD（KJO-1)"</f>
        <v>KHTQWKTCD（KJO-1)</v>
      </c>
      <c r="L504" t="str">
        <f>"RSRBTRWIPRJO1"</f>
        <v>RSRBTRWIPRJO1</v>
      </c>
      <c r="M504">
        <v>20</v>
      </c>
      <c r="N504">
        <v>250402003</v>
      </c>
      <c r="O504" t="str">
        <f t="shared" ref="O504:O506" si="158">"项"</f>
        <v>项</v>
      </c>
      <c r="P504" t="str">
        <f t="shared" si="153"/>
        <v>检验费</v>
      </c>
    </row>
    <row r="505" spans="1:16">
      <c r="A505" t="str">
        <f>"抗核提取物抗体测定(抗Sc-L-70)"</f>
        <v>抗核提取物抗体测定(抗Sc-L-70)</v>
      </c>
      <c r="B505" t="str">
        <f>"250402003-4"</f>
        <v>250402003-4</v>
      </c>
      <c r="C505" t="str">
        <f t="shared" si="152"/>
        <v>检验</v>
      </c>
      <c r="G505">
        <v>20</v>
      </c>
      <c r="I505">
        <v>1</v>
      </c>
      <c r="K505" t="str">
        <f>"KHTQWKTCD(KSC-L-"</f>
        <v>KHTQWKTCD(KSC-L-</v>
      </c>
      <c r="L505" t="str">
        <f>"RSRBTRWIPRSCL70"</f>
        <v>RSRBTRWIPRSCL70</v>
      </c>
      <c r="M505">
        <v>20</v>
      </c>
      <c r="N505">
        <v>250402003</v>
      </c>
      <c r="O505" t="str">
        <f t="shared" si="158"/>
        <v>项</v>
      </c>
      <c r="P505" t="str">
        <f t="shared" si="153"/>
        <v>检验费</v>
      </c>
    </row>
    <row r="506" spans="1:16">
      <c r="A506" t="str">
        <f>"抗核提取物抗体测定(抗SM)"</f>
        <v>抗核提取物抗体测定(抗SM)</v>
      </c>
      <c r="B506" t="str">
        <f>"250402003-5"</f>
        <v>250402003-5</v>
      </c>
      <c r="C506" t="str">
        <f t="shared" si="152"/>
        <v>检验</v>
      </c>
      <c r="G506">
        <v>20</v>
      </c>
      <c r="I506">
        <v>1</v>
      </c>
      <c r="K506" t="str">
        <f>"KHTQWKTCD(KSM)"</f>
        <v>KHTQWKTCD(KSM)</v>
      </c>
      <c r="L506" t="str">
        <f>"RSRBTRWIPRSM"</f>
        <v>RSRBTRWIPRSM</v>
      </c>
      <c r="M506">
        <v>20</v>
      </c>
      <c r="N506">
        <v>250402003</v>
      </c>
      <c r="O506" t="str">
        <f t="shared" si="158"/>
        <v>项</v>
      </c>
      <c r="P506" t="str">
        <f t="shared" si="153"/>
        <v>检验费</v>
      </c>
    </row>
    <row r="507" spans="1:16">
      <c r="A507" t="str">
        <f>"抗核提取物抗体测定(抗SSA抗体)"</f>
        <v>抗核提取物抗体测定(抗SSA抗体)</v>
      </c>
      <c r="B507" t="str">
        <f>"250402003-6"</f>
        <v>250402003-6</v>
      </c>
      <c r="C507" t="str">
        <f t="shared" si="152"/>
        <v>检验</v>
      </c>
      <c r="G507">
        <v>20</v>
      </c>
      <c r="I507" t="str">
        <f>"次"</f>
        <v>次</v>
      </c>
      <c r="K507" t="str">
        <f>"KHTQWKTCD(KSSAKT)"</f>
        <v>KHTQWKTCD(KSSAKT)</v>
      </c>
      <c r="L507" t="str">
        <f>"RSRBTRWIP(RssaRW)"</f>
        <v>RSRBTRWIP(RssaRW)</v>
      </c>
      <c r="M507">
        <v>20</v>
      </c>
      <c r="N507">
        <v>250402003</v>
      </c>
      <c r="O507" t="str">
        <f>"次"</f>
        <v>次</v>
      </c>
      <c r="P507" t="str">
        <f t="shared" si="153"/>
        <v>检验费</v>
      </c>
    </row>
    <row r="508" spans="1:16">
      <c r="A508" t="str">
        <f>"抗核提取物抗体测定（抗SSB)"</f>
        <v>抗核提取物抗体测定（抗SSB)</v>
      </c>
      <c r="B508" t="str">
        <f>"250402003-7"</f>
        <v>250402003-7</v>
      </c>
      <c r="C508" t="str">
        <f t="shared" si="152"/>
        <v>检验</v>
      </c>
      <c r="G508">
        <v>20</v>
      </c>
      <c r="I508" t="str">
        <f t="shared" ref="I508:I510" si="159">"项"</f>
        <v>项</v>
      </c>
      <c r="K508" t="str">
        <f>"KHTQWKTCD（KSSB)"</f>
        <v>KHTQWKTCD（KSSB)</v>
      </c>
      <c r="L508" t="str">
        <f>"RSRBTRWIPRSSB"</f>
        <v>RSRBTRWIPRSSB</v>
      </c>
      <c r="M508">
        <v>20</v>
      </c>
      <c r="N508">
        <v>250402003</v>
      </c>
      <c r="O508" t="str">
        <f t="shared" ref="O508:O511" si="160">"项"</f>
        <v>项</v>
      </c>
      <c r="P508" t="str">
        <f t="shared" si="153"/>
        <v>检验费</v>
      </c>
    </row>
    <row r="509" spans="1:16">
      <c r="A509" t="str">
        <f>"抗核提取物抗体测定(抗Anti-UIRNP)(免疫学法)"</f>
        <v>抗核提取物抗体测定(抗Anti-UIRNP)(免疫学法)</v>
      </c>
      <c r="B509" t="str">
        <f>"250402003-8"</f>
        <v>250402003-8</v>
      </c>
      <c r="C509" t="str">
        <f t="shared" si="152"/>
        <v>检验</v>
      </c>
      <c r="G509">
        <v>20</v>
      </c>
      <c r="I509" t="str">
        <f t="shared" si="159"/>
        <v>项</v>
      </c>
      <c r="K509" t="str">
        <f>"KHTQWKTCDKANTIUI"</f>
        <v>KHTQWKTCDKANTIUI</v>
      </c>
      <c r="L509" t="str">
        <f>"RSRBTRWIPRANTIUI"</f>
        <v>RSRBTRWIPRANTIUI</v>
      </c>
      <c r="M509">
        <v>20</v>
      </c>
      <c r="N509">
        <v>250402003</v>
      </c>
      <c r="O509" t="str">
        <f t="shared" si="160"/>
        <v>项</v>
      </c>
      <c r="P509" t="str">
        <f t="shared" si="153"/>
        <v>检验费</v>
      </c>
    </row>
    <row r="510" spans="1:16">
      <c r="A510" t="str">
        <f>"抗核提取物抗体测定（抗着丝点抗体测定）（免疫学法）"</f>
        <v>抗核提取物抗体测定（抗着丝点抗体测定）（免疫学法）</v>
      </c>
      <c r="B510" t="str">
        <f>"250402003-9"</f>
        <v>250402003-9</v>
      </c>
      <c r="C510" t="str">
        <f t="shared" si="152"/>
        <v>检验</v>
      </c>
      <c r="G510">
        <v>20</v>
      </c>
      <c r="I510" t="str">
        <f t="shared" si="159"/>
        <v>项</v>
      </c>
      <c r="K510" t="str">
        <f>"KHTQWKTCDKZSDKTC"</f>
        <v>KHTQWKTCDKZSDKTC</v>
      </c>
      <c r="L510" t="str">
        <f>"RSRBTRWIPRUXHRWI"</f>
        <v>RSRBTRWIPRUXHRWI</v>
      </c>
      <c r="M510">
        <v>20</v>
      </c>
      <c r="N510">
        <v>250402003</v>
      </c>
      <c r="O510" t="str">
        <f t="shared" si="160"/>
        <v>项</v>
      </c>
      <c r="P510" t="str">
        <f t="shared" si="153"/>
        <v>检验费</v>
      </c>
    </row>
    <row r="511" spans="1:16">
      <c r="A511" t="str">
        <f>"抗中性粒细胞胞浆抗体测定(canca)"</f>
        <v>抗中性粒细胞胞浆抗体测定(canca)</v>
      </c>
      <c r="B511" t="str">
        <f>"250402005-3"</f>
        <v>250402005-3</v>
      </c>
      <c r="C511" t="str">
        <f t="shared" si="152"/>
        <v>检验</v>
      </c>
      <c r="G511">
        <v>30</v>
      </c>
      <c r="I511">
        <v>1</v>
      </c>
      <c r="K511" t="str">
        <f>"KZXLXBBJKTCD(CAN"</f>
        <v>KZXLXBBJKTCD(CAN</v>
      </c>
      <c r="L511" t="str">
        <f>"RKNOXEEURWIPCANC"</f>
        <v>RKNOXEEURWIPCANC</v>
      </c>
      <c r="M511">
        <v>30</v>
      </c>
      <c r="N511">
        <v>250402005</v>
      </c>
      <c r="O511" t="str">
        <f t="shared" si="160"/>
        <v>项</v>
      </c>
      <c r="P511" t="str">
        <f t="shared" si="153"/>
        <v>检验费</v>
      </c>
    </row>
    <row r="512" spans="1:16">
      <c r="A512" t="str">
        <f>"抗中性粒细胞胞浆抗体测定(panca)"</f>
        <v>抗中性粒细胞胞浆抗体测定(panca)</v>
      </c>
      <c r="B512" t="str">
        <f>"250402005-4"</f>
        <v>250402005-4</v>
      </c>
      <c r="C512" t="str">
        <f t="shared" si="152"/>
        <v>检验</v>
      </c>
      <c r="G512">
        <v>30</v>
      </c>
      <c r="I512" t="str">
        <f>"次"</f>
        <v>次</v>
      </c>
      <c r="K512" t="str">
        <f>"KZXLXBBJKTCDPANC"</f>
        <v>KZXLXBBJKTCDPANC</v>
      </c>
      <c r="L512" t="str">
        <f>"RKNOXEEURWIPPANC"</f>
        <v>RKNOXEEURWIPPANC</v>
      </c>
      <c r="M512">
        <v>30</v>
      </c>
      <c r="N512">
        <v>250402005</v>
      </c>
      <c r="O512" t="str">
        <f>"次"</f>
        <v>次</v>
      </c>
      <c r="P512" t="str">
        <f t="shared" si="153"/>
        <v>检验费</v>
      </c>
    </row>
    <row r="513" spans="1:16">
      <c r="A513" t="str">
        <f>"抗双链DNA测定(抗dsDNA)"</f>
        <v>抗双链DNA测定(抗dsDNA)</v>
      </c>
      <c r="B513" t="str">
        <f>"250402006-a"</f>
        <v>250402006-a</v>
      </c>
      <c r="C513" t="str">
        <f t="shared" si="152"/>
        <v>检验</v>
      </c>
      <c r="G513">
        <v>20</v>
      </c>
      <c r="I513" t="str">
        <f>"-"</f>
        <v>-</v>
      </c>
      <c r="K513" t="str">
        <f>"KSLDNACDKD"</f>
        <v>KSLDNACDKD</v>
      </c>
      <c r="L513" t="str">
        <f>"RCQDNAIPRD"</f>
        <v>RCQDNAIPRD</v>
      </c>
      <c r="M513">
        <v>60</v>
      </c>
      <c r="N513" t="str">
        <f>"250402006-a"</f>
        <v>250402006-a</v>
      </c>
      <c r="O513" t="str">
        <f t="shared" ref="O513:O515" si="161">"项"</f>
        <v>项</v>
      </c>
      <c r="P513" t="str">
        <f t="shared" si="153"/>
        <v>检验费</v>
      </c>
    </row>
    <row r="514" spans="1:16">
      <c r="A514" t="str">
        <f>"抗线粒体抗体测定（免疫法）"</f>
        <v>抗线粒体抗体测定（免疫法）</v>
      </c>
      <c r="B514">
        <v>250402007</v>
      </c>
      <c r="C514" t="str">
        <f t="shared" si="152"/>
        <v>检验</v>
      </c>
      <c r="G514">
        <v>15</v>
      </c>
      <c r="I514" t="str">
        <f t="shared" ref="I514:I525" si="162">"项"</f>
        <v>项</v>
      </c>
      <c r="K514" t="str">
        <f>"KXLTKTCD（MYF）"</f>
        <v>KXLTKTCD（MYF）</v>
      </c>
      <c r="L514" t="str">
        <f>"RXOWRWIPQUI"</f>
        <v>RXOWRWIPQUI</v>
      </c>
      <c r="M514">
        <v>15</v>
      </c>
      <c r="N514">
        <v>250402007</v>
      </c>
      <c r="O514" t="str">
        <f t="shared" si="161"/>
        <v>项</v>
      </c>
      <c r="P514" t="str">
        <f t="shared" si="153"/>
        <v>检验费</v>
      </c>
    </row>
    <row r="515" spans="1:16">
      <c r="A515" t="str">
        <f>"抗核糖核蛋白抗体测定（免疫印迹法）"</f>
        <v>抗核糖核蛋白抗体测定（免疫印迹法）</v>
      </c>
      <c r="B515" t="str">
        <f>"250402010-a"</f>
        <v>250402010-a</v>
      </c>
      <c r="C515" t="str">
        <f t="shared" si="152"/>
        <v>检验</v>
      </c>
      <c r="G515">
        <v>20</v>
      </c>
      <c r="I515" t="str">
        <f t="shared" si="162"/>
        <v>项</v>
      </c>
      <c r="K515" t="str">
        <f>"KHTHDBKTCDMYYJF"</f>
        <v>KHTHDBKTCDMYYJF</v>
      </c>
      <c r="L515" t="str">
        <f>"RSOSNRRWIPQUQYI"</f>
        <v>RSOSNRRWIPQUQYI</v>
      </c>
      <c r="M515">
        <v>20</v>
      </c>
      <c r="N515" t="str">
        <f>"250402010-a"</f>
        <v>250402010-a</v>
      </c>
      <c r="O515" t="str">
        <f t="shared" si="161"/>
        <v>项</v>
      </c>
      <c r="P515" t="str">
        <f t="shared" si="153"/>
        <v>检验费</v>
      </c>
    </row>
    <row r="516" spans="1:16">
      <c r="A516" t="str">
        <f>"抗组织细胞抗体测定(胰岛细胞)"</f>
        <v>抗组织细胞抗体测定(胰岛细胞)</v>
      </c>
      <c r="B516" t="str">
        <f>"250402014-1"</f>
        <v>250402014-1</v>
      </c>
      <c r="C516" t="str">
        <f t="shared" si="152"/>
        <v>检验</v>
      </c>
      <c r="G516">
        <v>20</v>
      </c>
      <c r="I516" t="str">
        <f>"次"</f>
        <v>次</v>
      </c>
      <c r="K516" t="str">
        <f>"KZZXBKTCDYDXB"</f>
        <v>KZZXBKTCDYDXB</v>
      </c>
      <c r="L516" t="str">
        <f>"RXXXERWIPEQXE"</f>
        <v>RXXXERWIPEQXE</v>
      </c>
      <c r="M516">
        <v>40</v>
      </c>
      <c r="N516">
        <v>250402014</v>
      </c>
      <c r="O516" t="str">
        <f>"次"</f>
        <v>次</v>
      </c>
      <c r="P516" t="str">
        <f t="shared" si="153"/>
        <v>检验费</v>
      </c>
    </row>
    <row r="517" spans="1:16">
      <c r="A517" t="str">
        <f>"抗甲状腺球蛋白抗体测定(TGAb)"</f>
        <v>抗甲状腺球蛋白抗体测定(TGAb)</v>
      </c>
      <c r="B517" t="str">
        <f>"250402017-a"</f>
        <v>250402017-a</v>
      </c>
      <c r="C517" t="str">
        <f t="shared" si="152"/>
        <v>检验</v>
      </c>
      <c r="D517" t="str">
        <f>"002504020170000"</f>
        <v>002504020170000</v>
      </c>
      <c r="G517">
        <v>35</v>
      </c>
      <c r="I517" t="str">
        <f t="shared" si="162"/>
        <v>项</v>
      </c>
      <c r="K517" t="str">
        <f>"KJZXQDBKTC"</f>
        <v>KJZXQDBKTC</v>
      </c>
      <c r="L517" t="str">
        <f>"RLUEGNRRWI"</f>
        <v>RLUEGNRRWI</v>
      </c>
      <c r="M517">
        <v>35</v>
      </c>
      <c r="N517" t="str">
        <f>"250402017-a"</f>
        <v>250402017-a</v>
      </c>
      <c r="O517" t="str">
        <f t="shared" ref="O517:O528" si="163">"项"</f>
        <v>项</v>
      </c>
      <c r="P517" t="str">
        <f t="shared" si="153"/>
        <v>检验费</v>
      </c>
    </row>
    <row r="518" spans="1:16">
      <c r="A518" t="str">
        <f>"甲状腺球蛋白测定"</f>
        <v>甲状腺球蛋白测定</v>
      </c>
      <c r="B518" t="str">
        <f>"250402017-b"</f>
        <v>250402017-b</v>
      </c>
      <c r="C518" t="str">
        <f t="shared" si="152"/>
        <v>检验</v>
      </c>
      <c r="G518">
        <v>55</v>
      </c>
      <c r="I518" t="str">
        <f t="shared" si="162"/>
        <v>项</v>
      </c>
      <c r="K518" t="str">
        <f>"JZXQDBCD"</f>
        <v>JZXQDBCD</v>
      </c>
      <c r="L518" t="str">
        <f>"LUEGNRIP"</f>
        <v>LUEGNRIP</v>
      </c>
      <c r="M518">
        <v>55</v>
      </c>
      <c r="N518" t="str">
        <f>"250402017-b"</f>
        <v>250402017-b</v>
      </c>
      <c r="O518" t="str">
        <f t="shared" si="163"/>
        <v>项</v>
      </c>
      <c r="P518" t="str">
        <f t="shared" si="153"/>
        <v>检验费</v>
      </c>
    </row>
    <row r="519" spans="1:16">
      <c r="A519" t="str">
        <f>"抗胰岛素抗体测定凝集法"</f>
        <v>抗胰岛素抗体测定凝集法</v>
      </c>
      <c r="B519">
        <v>250402026</v>
      </c>
      <c r="C519" t="str">
        <f t="shared" si="152"/>
        <v>检验</v>
      </c>
      <c r="D519" t="str">
        <f>"002504020260000"</f>
        <v>002504020260000</v>
      </c>
      <c r="G519">
        <v>15</v>
      </c>
      <c r="I519" t="str">
        <f t="shared" si="162"/>
        <v>项</v>
      </c>
      <c r="K519" t="str">
        <f>"KYDSKTCDNJF"</f>
        <v>KYDSKTCDNJF</v>
      </c>
      <c r="L519" t="str">
        <f>"REQGRWIPUWI"</f>
        <v>REQGRWIPUWI</v>
      </c>
      <c r="M519">
        <v>15</v>
      </c>
      <c r="N519">
        <v>250402026</v>
      </c>
      <c r="O519" t="str">
        <f t="shared" si="163"/>
        <v>项</v>
      </c>
      <c r="P519" t="str">
        <f t="shared" si="153"/>
        <v>检验费</v>
      </c>
    </row>
    <row r="520" spans="1:16">
      <c r="A520" t="str">
        <f>"抗胰岛素抗体测定ELISA法"</f>
        <v>抗胰岛素抗体测定ELISA法</v>
      </c>
      <c r="B520" t="str">
        <f>"250402026-a"</f>
        <v>250402026-a</v>
      </c>
      <c r="C520" t="str">
        <f t="shared" si="152"/>
        <v>检验</v>
      </c>
      <c r="D520" t="str">
        <f>"002504020260000"</f>
        <v>002504020260000</v>
      </c>
      <c r="G520">
        <v>45</v>
      </c>
      <c r="I520" t="str">
        <f t="shared" si="162"/>
        <v>项</v>
      </c>
      <c r="K520" t="str">
        <f>"KYDSKTCDELISAF"</f>
        <v>KYDSKTCDELISAF</v>
      </c>
      <c r="L520" t="str">
        <f>"REQGRWIPelisaI"</f>
        <v>REQGRWIPelisaI</v>
      </c>
      <c r="M520">
        <v>45</v>
      </c>
      <c r="N520" t="str">
        <f>"250402026-a"</f>
        <v>250402026-a</v>
      </c>
      <c r="O520" t="str">
        <f t="shared" si="163"/>
        <v>项</v>
      </c>
      <c r="P520" t="str">
        <f t="shared" si="153"/>
        <v>检验费</v>
      </c>
    </row>
    <row r="521" spans="1:16">
      <c r="A521" t="str">
        <f>"抗载脂蛋白抗体测定"</f>
        <v>抗载脂蛋白抗体测定</v>
      </c>
      <c r="B521">
        <v>250402033</v>
      </c>
      <c r="C521" t="str">
        <f t="shared" si="152"/>
        <v>检验</v>
      </c>
      <c r="D521" t="str">
        <f>"002504020330000"</f>
        <v>002504020330000</v>
      </c>
      <c r="G521">
        <v>15</v>
      </c>
      <c r="I521" t="str">
        <f t="shared" si="162"/>
        <v>项</v>
      </c>
      <c r="K521" t="str">
        <f>"KZZDBKTCD"</f>
        <v>KZZDBKTCD</v>
      </c>
      <c r="L521" t="str">
        <f>"RFENRRWIP"</f>
        <v>RFENRRWIP</v>
      </c>
      <c r="M521">
        <v>15</v>
      </c>
      <c r="N521">
        <v>250402033</v>
      </c>
      <c r="O521" t="str">
        <f t="shared" si="163"/>
        <v>项</v>
      </c>
      <c r="P521" t="str">
        <f t="shared" si="153"/>
        <v>检验费</v>
      </c>
    </row>
    <row r="522" spans="1:16">
      <c r="A522" t="str">
        <f>"类风湿因子(RF)测定"</f>
        <v>类风湿因子(RF)测定</v>
      </c>
      <c r="B522">
        <v>250402035</v>
      </c>
      <c r="C522" t="str">
        <f t="shared" si="152"/>
        <v>检验</v>
      </c>
      <c r="D522" t="str">
        <f>"002504020350000"</f>
        <v>002504020350000</v>
      </c>
      <c r="G522">
        <v>15</v>
      </c>
      <c r="I522" t="str">
        <f t="shared" si="162"/>
        <v>项</v>
      </c>
      <c r="K522" t="str">
        <f>"LFSYZ(RF)CD"</f>
        <v>LFSYZ(RF)CD</v>
      </c>
      <c r="L522" t="str">
        <f>"OMILB(rf)IP"</f>
        <v>OMILB(rf)IP</v>
      </c>
      <c r="M522">
        <v>15</v>
      </c>
      <c r="N522">
        <v>250402035</v>
      </c>
      <c r="O522" t="str">
        <f t="shared" si="163"/>
        <v>项</v>
      </c>
      <c r="P522" t="str">
        <f t="shared" si="153"/>
        <v>检验费</v>
      </c>
    </row>
    <row r="523" spans="1:16">
      <c r="A523" t="str">
        <f>"抗环瓜氨酸肽抗体(抗CCP抗体)测定"</f>
        <v>抗环瓜氨酸肽抗体(抗CCP抗体)测定</v>
      </c>
      <c r="B523">
        <v>250402041</v>
      </c>
      <c r="C523" t="str">
        <f t="shared" si="152"/>
        <v>检验</v>
      </c>
      <c r="G523">
        <v>80</v>
      </c>
      <c r="I523" t="str">
        <f t="shared" si="162"/>
        <v>项</v>
      </c>
      <c r="K523" t="str">
        <f>"KHGASTKT(KCCPKT)CD"</f>
        <v>KHGASTKT(KCCPKT)CD</v>
      </c>
      <c r="L523" t="str">
        <f>"RGRRSERW(RccpRW)IP"</f>
        <v>RGRRSERW(RccpRW)IP</v>
      </c>
      <c r="M523">
        <v>80</v>
      </c>
      <c r="N523">
        <v>250402041</v>
      </c>
      <c r="O523" t="str">
        <f t="shared" si="163"/>
        <v>项</v>
      </c>
      <c r="P523" t="str">
        <f t="shared" si="153"/>
        <v>检验费</v>
      </c>
    </row>
    <row r="524" spans="1:16">
      <c r="A524" t="str">
        <f>"抗核小体抗体测定（AnuA）"</f>
        <v>抗核小体抗体测定（AnuA）</v>
      </c>
      <c r="B524">
        <v>250402044</v>
      </c>
      <c r="C524" t="str">
        <f t="shared" si="152"/>
        <v>检验</v>
      </c>
      <c r="G524">
        <v>45</v>
      </c>
      <c r="I524" t="str">
        <f t="shared" si="162"/>
        <v>项</v>
      </c>
      <c r="K524" t="str">
        <f>"KHXTKTCDANUA"</f>
        <v>KHXTKTCDANUA</v>
      </c>
      <c r="L524" t="str">
        <f>"RSIWRWIPANUA"</f>
        <v>RSIWRWIPANUA</v>
      </c>
      <c r="M524">
        <v>80</v>
      </c>
      <c r="N524">
        <v>250402044</v>
      </c>
      <c r="O524" t="str">
        <f t="shared" si="163"/>
        <v>项</v>
      </c>
      <c r="P524" t="str">
        <f t="shared" si="153"/>
        <v>检验费</v>
      </c>
    </row>
    <row r="525" spans="1:16">
      <c r="A525" t="str">
        <f>"抗组蛋白抗体(AHA)测定"</f>
        <v>抗组蛋白抗体(AHA)测定</v>
      </c>
      <c r="B525">
        <v>250402049</v>
      </c>
      <c r="C525" t="str">
        <f t="shared" si="152"/>
        <v>检验</v>
      </c>
      <c r="G525">
        <v>30</v>
      </c>
      <c r="I525" t="str">
        <f t="shared" si="162"/>
        <v>项</v>
      </c>
      <c r="K525" t="str">
        <f>"KZDBKT(AHA)CD"</f>
        <v>KZDBKT(AHA)CD</v>
      </c>
      <c r="L525" t="str">
        <f>"RXNRRW(aha)IP"</f>
        <v>RXNRRW(aha)IP</v>
      </c>
      <c r="M525">
        <v>80</v>
      </c>
      <c r="N525">
        <v>250402049</v>
      </c>
      <c r="O525" t="str">
        <f t="shared" si="163"/>
        <v>项</v>
      </c>
      <c r="P525" t="str">
        <f t="shared" si="153"/>
        <v>检验费</v>
      </c>
    </row>
    <row r="526" spans="1:16">
      <c r="A526" t="str">
        <f>"抗甲状腺过氧化物酶抗体"</f>
        <v>抗甲状腺过氧化物酶抗体</v>
      </c>
      <c r="B526">
        <v>250402062</v>
      </c>
      <c r="C526" t="str">
        <f t="shared" si="152"/>
        <v>检验</v>
      </c>
      <c r="D526" t="str">
        <f>"002504020180000"</f>
        <v>002504020180000</v>
      </c>
      <c r="G526">
        <v>70</v>
      </c>
      <c r="I526">
        <v>1</v>
      </c>
      <c r="K526" t="str">
        <f>"KJZXGYHWMKT"</f>
        <v>KJZXGYHWMKT</v>
      </c>
      <c r="L526" t="str">
        <f>"RLUEFRWTSRW"</f>
        <v>RLUEFRWTSRW</v>
      </c>
      <c r="M526">
        <v>70</v>
      </c>
      <c r="N526">
        <v>250402062</v>
      </c>
      <c r="O526" t="str">
        <f t="shared" si="163"/>
        <v>项</v>
      </c>
      <c r="P526" t="str">
        <f t="shared" si="153"/>
        <v>检验费</v>
      </c>
    </row>
    <row r="527" spans="1:16">
      <c r="A527" t="str">
        <f>"甲型肝炎IgM抗体测定(Anti-HAV IgM)（酶免法、放免法)"</f>
        <v>甲型肝炎IgM抗体测定(Anti-HAV IgM)（酶免法、放免法)</v>
      </c>
      <c r="B527" t="str">
        <f>"250403001-a"</f>
        <v>250403001-a</v>
      </c>
      <c r="C527" t="str">
        <f t="shared" si="152"/>
        <v>检验</v>
      </c>
      <c r="D527" t="str">
        <f>"002504030010000"</f>
        <v>002504030010000</v>
      </c>
      <c r="G527">
        <v>10</v>
      </c>
      <c r="I527" t="str">
        <f t="shared" ref="I527:I543" si="164">"项"</f>
        <v>项</v>
      </c>
      <c r="K527" t="str">
        <f>"JXGYIGMKTCDANTIH"</f>
        <v>JXGYIGMKTCDANTIH</v>
      </c>
      <c r="L527" t="str">
        <f>"LGEOIGMRWIPANTIH"</f>
        <v>LGEOIGMRWIPANTIH</v>
      </c>
      <c r="M527">
        <v>10</v>
      </c>
      <c r="N527" t="str">
        <f>"250403001-a"</f>
        <v>250403001-a</v>
      </c>
      <c r="O527" t="str">
        <f t="shared" si="163"/>
        <v>项</v>
      </c>
      <c r="P527" t="str">
        <f t="shared" si="153"/>
        <v>检验费</v>
      </c>
    </row>
    <row r="528" spans="1:16">
      <c r="A528" t="str">
        <f>"乙型肝炎DNA测定"</f>
        <v>乙型肝炎DNA测定</v>
      </c>
      <c r="B528">
        <v>250403003</v>
      </c>
      <c r="C528" t="str">
        <f t="shared" si="152"/>
        <v>检验</v>
      </c>
      <c r="G528">
        <v>45</v>
      </c>
      <c r="I528" t="str">
        <f t="shared" si="164"/>
        <v>项</v>
      </c>
      <c r="K528" t="str">
        <f>"YXGYDNACD"</f>
        <v>YXGYDNACD</v>
      </c>
      <c r="L528" t="str">
        <f>"NGEOdnaIP"</f>
        <v>NGEOdnaIP</v>
      </c>
      <c r="M528">
        <v>45</v>
      </c>
      <c r="N528">
        <v>250403003</v>
      </c>
      <c r="O528" t="str">
        <f t="shared" si="163"/>
        <v>项</v>
      </c>
      <c r="P528" t="str">
        <f t="shared" si="153"/>
        <v>检验费</v>
      </c>
    </row>
    <row r="529" spans="1:16">
      <c r="A529" t="str">
        <f>"乙型肝炎病毒DNA定量检测"</f>
        <v>乙型肝炎病毒DNA定量检测</v>
      </c>
      <c r="B529" t="str">
        <f>"250403003-a"</f>
        <v>250403003-a</v>
      </c>
      <c r="C529" t="str">
        <f t="shared" si="152"/>
        <v>检验</v>
      </c>
      <c r="G529">
        <v>450</v>
      </c>
      <c r="I529" t="str">
        <f>"次"</f>
        <v>次</v>
      </c>
      <c r="K529" t="str">
        <f>"YXGYBDDNADLJC"</f>
        <v>YXGYBDDNADLJC</v>
      </c>
      <c r="L529" t="str">
        <f>"NGEOUGDNAPJSI"</f>
        <v>NGEOUGDNAPJSI</v>
      </c>
      <c r="M529">
        <v>450</v>
      </c>
      <c r="N529" t="str">
        <f>"250403003-a"</f>
        <v>250403003-a</v>
      </c>
      <c r="O529" t="str">
        <f>"次"</f>
        <v>次</v>
      </c>
      <c r="P529" t="str">
        <f t="shared" si="153"/>
        <v>检验费</v>
      </c>
    </row>
    <row r="530" spans="1:16">
      <c r="A530" t="str">
        <f>"乙型肝炎表面抗原测定(HBsAg)ELISA法"</f>
        <v>乙型肝炎表面抗原测定(HBsAg)ELISA法</v>
      </c>
      <c r="B530">
        <v>250403004</v>
      </c>
      <c r="C530" t="str">
        <f t="shared" si="152"/>
        <v>检验</v>
      </c>
      <c r="D530" t="str">
        <f>"002504030040000"</f>
        <v>002504030040000</v>
      </c>
      <c r="G530">
        <v>8</v>
      </c>
      <c r="I530" t="str">
        <f t="shared" si="164"/>
        <v>项</v>
      </c>
      <c r="K530" t="str">
        <f>"YXGYBMKYCDHBSAGE"</f>
        <v>YXGYBMKYCDHBSAGE</v>
      </c>
      <c r="L530" t="str">
        <f>"NGEOGDRDIPHBSAGE"</f>
        <v>NGEOGDRDIPHBSAGE</v>
      </c>
      <c r="M530">
        <v>8</v>
      </c>
      <c r="N530">
        <v>250403004</v>
      </c>
      <c r="O530" t="str">
        <f t="shared" ref="O530:O543" si="165">"项"</f>
        <v>项</v>
      </c>
      <c r="P530" t="str">
        <f t="shared" si="153"/>
        <v>检验费</v>
      </c>
    </row>
    <row r="531" spans="1:16">
      <c r="A531" t="str">
        <f>"乙型肝炎表面抗原测定(HBsAg)（化学发光法、免疫荧光法）"</f>
        <v>乙型肝炎表面抗原测定(HBsAg)（化学发光法、免疫荧光法）</v>
      </c>
      <c r="B531" t="str">
        <f>"250403004-a"</f>
        <v>250403004-a</v>
      </c>
      <c r="C531" t="str">
        <f t="shared" si="152"/>
        <v>检验</v>
      </c>
      <c r="G531">
        <v>25</v>
      </c>
      <c r="I531" t="str">
        <f t="shared" si="164"/>
        <v>项</v>
      </c>
      <c r="K531" t="str">
        <f>"YXGYBMKYCD(HBSAG"</f>
        <v>YXGYBMKYCD(HBSAG</v>
      </c>
      <c r="L531" t="str">
        <f>"NGEOGDRDIPHBSAG"</f>
        <v>NGEOGDRDIPHBSAG</v>
      </c>
      <c r="M531">
        <v>25</v>
      </c>
      <c r="N531" t="str">
        <f>"250403004-a"</f>
        <v>250403004-a</v>
      </c>
      <c r="O531" t="str">
        <f t="shared" si="165"/>
        <v>项</v>
      </c>
      <c r="P531" t="str">
        <f t="shared" si="153"/>
        <v>检验费</v>
      </c>
    </row>
    <row r="532" spans="1:16">
      <c r="A532" t="str">
        <f>"乙型肝炎表面抗体测定(Anti-HBs)ELISA法"</f>
        <v>乙型肝炎表面抗体测定(Anti-HBs)ELISA法</v>
      </c>
      <c r="B532">
        <v>250403005</v>
      </c>
      <c r="C532" t="str">
        <f t="shared" si="152"/>
        <v>检验</v>
      </c>
      <c r="D532" t="str">
        <f>"002504030050000"</f>
        <v>002504030050000</v>
      </c>
      <c r="G532">
        <v>8</v>
      </c>
      <c r="I532" t="str">
        <f t="shared" si="164"/>
        <v>项</v>
      </c>
      <c r="K532" t="str">
        <f>"YXGYBMKTCDANTIHB"</f>
        <v>YXGYBMKTCDANTIHB</v>
      </c>
      <c r="L532" t="str">
        <f>"NGEOGDRWIPANTIHB"</f>
        <v>NGEOGDRWIPANTIHB</v>
      </c>
      <c r="M532">
        <v>8</v>
      </c>
      <c r="N532">
        <v>250403005</v>
      </c>
      <c r="O532" t="str">
        <f t="shared" si="165"/>
        <v>项</v>
      </c>
      <c r="P532" t="str">
        <f t="shared" si="153"/>
        <v>检验费</v>
      </c>
    </row>
    <row r="533" spans="1:16">
      <c r="A533" t="str">
        <f>"乙型肝炎表面抗体测定(Anti-HBs)化学发光法、免疫荧光法"</f>
        <v>乙型肝炎表面抗体测定(Anti-HBs)化学发光法、免疫荧光法</v>
      </c>
      <c r="B533" t="str">
        <f>"250403005-a"</f>
        <v>250403005-a</v>
      </c>
      <c r="C533" t="str">
        <f t="shared" si="152"/>
        <v>检验</v>
      </c>
      <c r="G533">
        <v>25</v>
      </c>
      <c r="I533" t="str">
        <f t="shared" si="164"/>
        <v>项</v>
      </c>
      <c r="K533" t="str">
        <f>"YXGYBMKTCDANTIHB"</f>
        <v>YXGYBMKTCDANTIHB</v>
      </c>
      <c r="L533" t="str">
        <f>"NGEOGDRWIPANTIHB"</f>
        <v>NGEOGDRWIPANTIHB</v>
      </c>
      <c r="M533">
        <v>25</v>
      </c>
      <c r="N533" t="str">
        <f>"250403005-a"</f>
        <v>250403005-a</v>
      </c>
      <c r="O533" t="str">
        <f t="shared" si="165"/>
        <v>项</v>
      </c>
      <c r="P533" t="str">
        <f t="shared" si="153"/>
        <v>检验费</v>
      </c>
    </row>
    <row r="534" spans="1:16">
      <c r="A534" t="str">
        <f>"乙型肝炎e抗原测定(HBeAg)（免疫学法）"</f>
        <v>乙型肝炎e抗原测定(HBeAg)（免疫学法）</v>
      </c>
      <c r="B534">
        <v>250403006</v>
      </c>
      <c r="C534" t="str">
        <f t="shared" si="152"/>
        <v>检验</v>
      </c>
      <c r="D534" t="str">
        <f>"002504030060000"</f>
        <v>002504030060000</v>
      </c>
      <c r="G534">
        <v>4</v>
      </c>
      <c r="I534" t="str">
        <f t="shared" si="164"/>
        <v>项</v>
      </c>
      <c r="K534" t="str">
        <f>"YXGYEKYCDHBEAGMY"</f>
        <v>YXGYEKYCDHBEAGMY</v>
      </c>
      <c r="L534" t="str">
        <f>"NGEOERDIPHBEAGQU"</f>
        <v>NGEOERDIPHBEAGQU</v>
      </c>
      <c r="M534">
        <v>4</v>
      </c>
      <c r="N534">
        <v>250403006</v>
      </c>
      <c r="O534" t="str">
        <f t="shared" si="165"/>
        <v>项</v>
      </c>
      <c r="P534" t="str">
        <f t="shared" si="153"/>
        <v>检验费</v>
      </c>
    </row>
    <row r="535" spans="1:16">
      <c r="A535" t="str">
        <f>"乙型肝炎e抗原测定(HBeAg)（化学发光法、免疫荧光法）"</f>
        <v>乙型肝炎e抗原测定(HBeAg)（化学发光法、免疫荧光法）</v>
      </c>
      <c r="B535" t="str">
        <f>"250403006-a"</f>
        <v>250403006-a</v>
      </c>
      <c r="C535" t="str">
        <f t="shared" si="152"/>
        <v>检验</v>
      </c>
      <c r="G535">
        <v>25</v>
      </c>
      <c r="I535" t="str">
        <f t="shared" si="164"/>
        <v>项</v>
      </c>
      <c r="K535" t="str">
        <f>"YXGYEKYCD(HBEAG)"</f>
        <v>YXGYEKYCD(HBEAG)</v>
      </c>
      <c r="L535" t="str">
        <f>"NGEOeRDIP(hbeag)"</f>
        <v>NGEOeRDIP(hbeag)</v>
      </c>
      <c r="M535">
        <v>25</v>
      </c>
      <c r="N535" t="str">
        <f>"250403006-a"</f>
        <v>250403006-a</v>
      </c>
      <c r="O535" t="str">
        <f t="shared" si="165"/>
        <v>项</v>
      </c>
      <c r="P535" t="str">
        <f t="shared" si="153"/>
        <v>检验费</v>
      </c>
    </row>
    <row r="536" spans="1:16">
      <c r="A536" t="str">
        <f>"乙型肝炎e抗体测定(Anti-HBe)免疫学法"</f>
        <v>乙型肝炎e抗体测定(Anti-HBe)免疫学法</v>
      </c>
      <c r="B536">
        <v>250403007</v>
      </c>
      <c r="C536" t="str">
        <f t="shared" si="152"/>
        <v>检验</v>
      </c>
      <c r="D536" t="str">
        <f>"002504030070000"</f>
        <v>002504030070000</v>
      </c>
      <c r="G536">
        <v>4</v>
      </c>
      <c r="I536" t="str">
        <f t="shared" si="164"/>
        <v>项</v>
      </c>
      <c r="K536" t="str">
        <f>"YXGYEKTCDANTIHBE"</f>
        <v>YXGYEKTCDANTIHBE</v>
      </c>
      <c r="L536" t="str">
        <f>"NGEOERWIPANTIHBE"</f>
        <v>NGEOERWIPANTIHBE</v>
      </c>
      <c r="M536">
        <v>4</v>
      </c>
      <c r="N536">
        <v>250403007</v>
      </c>
      <c r="O536" t="str">
        <f t="shared" si="165"/>
        <v>项</v>
      </c>
      <c r="P536" t="str">
        <f t="shared" si="153"/>
        <v>检验费</v>
      </c>
    </row>
    <row r="537" spans="1:16">
      <c r="A537" t="str">
        <f>"乙型肝炎e抗体测定(Anti-HBe)化学发光法、免疫荧光法"</f>
        <v>乙型肝炎e抗体测定(Anti-HBe)化学发光法、免疫荧光法</v>
      </c>
      <c r="B537" t="str">
        <f>"250403007-a"</f>
        <v>250403007-a</v>
      </c>
      <c r="C537" t="str">
        <f t="shared" si="152"/>
        <v>检验</v>
      </c>
      <c r="G537">
        <v>20</v>
      </c>
      <c r="I537" t="str">
        <f t="shared" si="164"/>
        <v>项</v>
      </c>
      <c r="K537" t="str">
        <f>"YXGYEKTCDANTIHBE"</f>
        <v>YXGYEKTCDANTIHBE</v>
      </c>
      <c r="L537" t="str">
        <f>"NGEOERWIPANTIHBE"</f>
        <v>NGEOERWIPANTIHBE</v>
      </c>
      <c r="M537">
        <v>20</v>
      </c>
      <c r="N537" t="str">
        <f>"250403007-a"</f>
        <v>250403007-a</v>
      </c>
      <c r="O537" t="str">
        <f t="shared" si="165"/>
        <v>项</v>
      </c>
      <c r="P537" t="str">
        <f t="shared" si="153"/>
        <v>检验费</v>
      </c>
    </row>
    <row r="538" spans="1:16">
      <c r="A538" t="str">
        <f>"乙型肝炎核心抗体测定(Anti-HBc)（ELISA法）"</f>
        <v>乙型肝炎核心抗体测定(Anti-HBc)（ELISA法）</v>
      </c>
      <c r="B538">
        <v>250403009</v>
      </c>
      <c r="C538" t="str">
        <f t="shared" si="152"/>
        <v>检验</v>
      </c>
      <c r="D538" t="str">
        <f>"002504030090000"</f>
        <v>002504030090000</v>
      </c>
      <c r="G538">
        <v>8</v>
      </c>
      <c r="I538" t="str">
        <f t="shared" si="164"/>
        <v>项</v>
      </c>
      <c r="K538" t="str">
        <f>"YXGYHXKTCD(ANTI-"</f>
        <v>YXGYHXKTCD(ANTI-</v>
      </c>
      <c r="L538" t="str">
        <f>"NGEOSNRWIPANTIHB"</f>
        <v>NGEOSNRWIPANTIHB</v>
      </c>
      <c r="M538">
        <v>8</v>
      </c>
      <c r="N538">
        <v>250403009</v>
      </c>
      <c r="O538" t="str">
        <f t="shared" si="165"/>
        <v>项</v>
      </c>
      <c r="P538" t="str">
        <f t="shared" si="153"/>
        <v>检验费</v>
      </c>
    </row>
    <row r="539" spans="1:16">
      <c r="A539" t="str">
        <f>"乙型肝炎核心抗体测定(Anti-HBc)化学发光法、免疫荧光法"</f>
        <v>乙型肝炎核心抗体测定(Anti-HBc)化学发光法、免疫荧光法</v>
      </c>
      <c r="B539" t="str">
        <f>"250403009-a"</f>
        <v>250403009-a</v>
      </c>
      <c r="C539" t="str">
        <f t="shared" si="152"/>
        <v>检验</v>
      </c>
      <c r="G539">
        <v>20</v>
      </c>
      <c r="I539" t="str">
        <f t="shared" si="164"/>
        <v>项</v>
      </c>
      <c r="K539" t="str">
        <f>"YXGYHXKTCDANTIHB"</f>
        <v>YXGYHXKTCDANTIHB</v>
      </c>
      <c r="L539" t="str">
        <f>"NGEOSNRWIPANTIHB"</f>
        <v>NGEOSNRWIPANTIHB</v>
      </c>
      <c r="M539">
        <v>20</v>
      </c>
      <c r="N539" t="str">
        <f>"250403009-a"</f>
        <v>250403009-a</v>
      </c>
      <c r="O539" t="str">
        <f t="shared" si="165"/>
        <v>项</v>
      </c>
      <c r="P539" t="str">
        <f t="shared" si="153"/>
        <v>检验费</v>
      </c>
    </row>
    <row r="540" spans="1:16">
      <c r="A540" t="str">
        <f>"乙型肝炎表面前S抗原测定（ELISA法）"</f>
        <v>乙型肝炎表面前S抗原测定（ELISA法）</v>
      </c>
      <c r="B540" t="str">
        <f>"250403011-a"</f>
        <v>250403011-a</v>
      </c>
      <c r="C540" t="str">
        <f t="shared" si="152"/>
        <v>检验</v>
      </c>
      <c r="D540" t="str">
        <f>"002504030110100"</f>
        <v>002504030110100</v>
      </c>
      <c r="G540">
        <v>25</v>
      </c>
      <c r="I540" t="str">
        <f t="shared" si="164"/>
        <v>项</v>
      </c>
      <c r="K540" t="str">
        <f>"YXGYBMQSKYCDELIS"</f>
        <v>YXGYBMQSKYCDELIS</v>
      </c>
      <c r="L540" t="str">
        <f>"NGEOGDUSRDIPELIS"</f>
        <v>NGEOGDUSRDIPELIS</v>
      </c>
      <c r="M540">
        <v>25</v>
      </c>
      <c r="N540" t="str">
        <f>"250403011-a"</f>
        <v>250403011-a</v>
      </c>
      <c r="O540" t="str">
        <f t="shared" si="165"/>
        <v>项</v>
      </c>
      <c r="P540" t="str">
        <f t="shared" si="153"/>
        <v>检验费</v>
      </c>
    </row>
    <row r="541" spans="1:16">
      <c r="A541" t="str">
        <f>"丙型肝炎RNA测定"</f>
        <v>丙型肝炎RNA测定</v>
      </c>
      <c r="B541">
        <v>250403013</v>
      </c>
      <c r="C541" t="str">
        <f t="shared" si="152"/>
        <v>检验</v>
      </c>
      <c r="G541">
        <v>55</v>
      </c>
      <c r="I541" t="str">
        <f t="shared" si="164"/>
        <v>项</v>
      </c>
      <c r="K541" t="str">
        <f>"BXGYRNACD"</f>
        <v>BXGYRNACD</v>
      </c>
      <c r="L541" t="str">
        <f>"GGEORNAIP"</f>
        <v>GGEORNAIP</v>
      </c>
      <c r="M541">
        <v>55</v>
      </c>
      <c r="N541">
        <v>250403013</v>
      </c>
      <c r="O541" t="str">
        <f t="shared" si="165"/>
        <v>项</v>
      </c>
      <c r="P541" t="str">
        <f t="shared" si="153"/>
        <v>检验费</v>
      </c>
    </row>
    <row r="542" spans="1:16">
      <c r="A542" t="str">
        <f>"丙型肝炎抗体测定(Anti-HCV)"</f>
        <v>丙型肝炎抗体测定(Anti-HCV)</v>
      </c>
      <c r="B542">
        <v>250403014</v>
      </c>
      <c r="C542" t="str">
        <f t="shared" si="152"/>
        <v>检验</v>
      </c>
      <c r="D542" t="str">
        <f>"002504030140000"</f>
        <v>002504030140000</v>
      </c>
      <c r="G542">
        <v>25</v>
      </c>
      <c r="I542" t="str">
        <f t="shared" si="164"/>
        <v>项</v>
      </c>
      <c r="K542" t="str">
        <f>"BXGYKTCDANTIHCV"</f>
        <v>BXGYKTCDANTIHCV</v>
      </c>
      <c r="L542" t="str">
        <f>"GGEORWIPANTIHCV"</f>
        <v>GGEORWIPANTIHCV</v>
      </c>
      <c r="M542">
        <v>25</v>
      </c>
      <c r="N542">
        <v>250403014</v>
      </c>
      <c r="O542" t="str">
        <f t="shared" si="165"/>
        <v>项</v>
      </c>
      <c r="P542" t="str">
        <f t="shared" si="153"/>
        <v>检验费</v>
      </c>
    </row>
    <row r="543" spans="1:16">
      <c r="A543" t="str">
        <f>"丙型肝炎抗体测定(Anti-HCV)各种发光法"</f>
        <v>丙型肝炎抗体测定(Anti-HCV)各种发光法</v>
      </c>
      <c r="B543" t="str">
        <f>"250403014-a"</f>
        <v>250403014-a</v>
      </c>
      <c r="C543" t="str">
        <f t="shared" si="152"/>
        <v>检验</v>
      </c>
      <c r="G543">
        <v>95</v>
      </c>
      <c r="I543" t="str">
        <f t="shared" si="164"/>
        <v>项</v>
      </c>
      <c r="K543" t="str">
        <f>"BXGYKTCD(ANTI-HCV)GZFGF"</f>
        <v>BXGYKTCD(ANTI-HCV)GZFGF</v>
      </c>
      <c r="L543" t="str">
        <f>"GGEORWIP(anti-hcv)TTNII"</f>
        <v>GGEORWIP(anti-hcv)TTNII</v>
      </c>
      <c r="M543">
        <v>95</v>
      </c>
      <c r="N543" t="str">
        <f>"250403014-a"</f>
        <v>250403014-a</v>
      </c>
      <c r="O543" t="str">
        <f t="shared" si="165"/>
        <v>项</v>
      </c>
      <c r="P543" t="str">
        <f t="shared" si="153"/>
        <v>检验费</v>
      </c>
    </row>
    <row r="544" spans="1:16">
      <c r="A544" t="str">
        <f>"戊型肝炎IgM抗体测定"</f>
        <v>戊型肝炎IgM抗体测定</v>
      </c>
      <c r="B544" t="str">
        <f>"250403017-2"</f>
        <v>250403017-2</v>
      </c>
      <c r="C544" t="str">
        <f t="shared" si="152"/>
        <v>检验</v>
      </c>
      <c r="G544">
        <v>30</v>
      </c>
      <c r="I544">
        <v>1</v>
      </c>
      <c r="K544" t="str">
        <f>"WXGYIGMKTCD"</f>
        <v>WXGYIGMKTCD</v>
      </c>
      <c r="L544" t="str">
        <f>"DGEOIGMRWIP"</f>
        <v>DGEOIGMRWIP</v>
      </c>
      <c r="M544">
        <v>30</v>
      </c>
      <c r="N544">
        <v>250403017</v>
      </c>
      <c r="O544" t="str">
        <f>"次"</f>
        <v>次</v>
      </c>
      <c r="P544" t="str">
        <f t="shared" si="153"/>
        <v>检验费</v>
      </c>
    </row>
    <row r="545" spans="1:16">
      <c r="A545" t="str">
        <f>"戊型肝炎IgG抗体测定"</f>
        <v>戊型肝炎IgG抗体测定</v>
      </c>
      <c r="B545" t="str">
        <f>"250403017-3"</f>
        <v>250403017-3</v>
      </c>
      <c r="C545" t="str">
        <f t="shared" ref="C545:C569" si="166">"检验"</f>
        <v>检验</v>
      </c>
      <c r="G545">
        <v>30</v>
      </c>
      <c r="I545">
        <v>1</v>
      </c>
      <c r="K545" t="str">
        <f>"WXGYIGGKTCD"</f>
        <v>WXGYIGGKTCD</v>
      </c>
      <c r="L545" t="str">
        <f>"DGEOIGGRWIP"</f>
        <v>DGEOIGGRWIP</v>
      </c>
      <c r="M545">
        <v>30</v>
      </c>
      <c r="N545">
        <v>250403017</v>
      </c>
      <c r="O545" t="str">
        <f>"次"</f>
        <v>次</v>
      </c>
      <c r="P545" t="str">
        <f t="shared" ref="P545:P608" si="167">"检验费"</f>
        <v>检验费</v>
      </c>
    </row>
    <row r="546" spans="1:16">
      <c r="A546" t="str">
        <f>"人免疫缺陷病毒抗体测定(Anti-HIV)"</f>
        <v>人免疫缺陷病毒抗体测定(Anti-HIV)</v>
      </c>
      <c r="B546" t="str">
        <f>"250403019-a"</f>
        <v>250403019-a</v>
      </c>
      <c r="C546" t="str">
        <f t="shared" si="166"/>
        <v>检验</v>
      </c>
      <c r="D546" t="str">
        <f>"002504030190000"</f>
        <v>002504030190000</v>
      </c>
      <c r="G546">
        <v>35</v>
      </c>
      <c r="I546" t="str">
        <f t="shared" ref="I546:I549" si="168">"项"</f>
        <v>项</v>
      </c>
      <c r="K546" t="str">
        <f>"RMYQXBDKTCDANTIH"</f>
        <v>RMYQXBDKTCDANTIH</v>
      </c>
      <c r="L546" t="str">
        <f>"WQURBUGRWIPANTIH"</f>
        <v>WQURBUGRWIPANTIH</v>
      </c>
      <c r="M546">
        <v>35</v>
      </c>
      <c r="N546" t="str">
        <f>"250403019-a"</f>
        <v>250403019-a</v>
      </c>
      <c r="O546" t="str">
        <f t="shared" ref="O546:O567" si="169">"项"</f>
        <v>项</v>
      </c>
      <c r="P546" t="str">
        <f t="shared" si="167"/>
        <v>检验费</v>
      </c>
    </row>
    <row r="547" spans="1:16">
      <c r="A547" t="str">
        <f>"弓形体抗体测定IgM（各种免疫学方法）"</f>
        <v>弓形体抗体测定IgM（各种免疫学方法）</v>
      </c>
      <c r="B547" t="str">
        <f>"250403020-2"</f>
        <v>250403020-2</v>
      </c>
      <c r="C547" t="str">
        <f t="shared" si="166"/>
        <v>检验</v>
      </c>
      <c r="D547" t="str">
        <f>"002504030200000"</f>
        <v>002504030200000</v>
      </c>
      <c r="G547">
        <v>25</v>
      </c>
      <c r="I547" t="str">
        <f>"-"</f>
        <v>-</v>
      </c>
      <c r="K547" t="str">
        <f>"GXTKTCDIGM"</f>
        <v>GXTKTCDIGM</v>
      </c>
      <c r="L547" t="str">
        <f>"XGWRWIPIGM"</f>
        <v>XGWRWIPIGM</v>
      </c>
      <c r="M547">
        <v>25</v>
      </c>
      <c r="N547" t="str">
        <f>"250403020-2"</f>
        <v>250403020-2</v>
      </c>
      <c r="O547" t="str">
        <f t="shared" si="169"/>
        <v>项</v>
      </c>
      <c r="P547" t="str">
        <f t="shared" si="167"/>
        <v>检验费</v>
      </c>
    </row>
    <row r="548" spans="1:16">
      <c r="A548" t="str">
        <f>"风疹病毒抗体测定IgM（各种免疫学方法）"</f>
        <v>风疹病毒抗体测定IgM（各种免疫学方法）</v>
      </c>
      <c r="B548" t="str">
        <f>"250403021-2"</f>
        <v>250403021-2</v>
      </c>
      <c r="C548" t="str">
        <f t="shared" si="166"/>
        <v>检验</v>
      </c>
      <c r="D548" t="str">
        <f>"002504030210000"</f>
        <v>002504030210000</v>
      </c>
      <c r="G548">
        <v>20</v>
      </c>
      <c r="I548" t="str">
        <f t="shared" si="168"/>
        <v>项</v>
      </c>
      <c r="K548" t="str">
        <f>"FZBDKTCDIGMGZMYX"</f>
        <v>FZBDKTCDIGMGZMYX</v>
      </c>
      <c r="L548" t="str">
        <f>"MUUGRWIPIGMTTQUI"</f>
        <v>MUUGRWIPIGMTTQUI</v>
      </c>
      <c r="M548">
        <v>20</v>
      </c>
      <c r="N548">
        <v>250403021</v>
      </c>
      <c r="O548" t="str">
        <f t="shared" si="169"/>
        <v>项</v>
      </c>
      <c r="P548" t="str">
        <f t="shared" si="167"/>
        <v>检验费</v>
      </c>
    </row>
    <row r="549" spans="1:16">
      <c r="A549" t="str">
        <f>"巨细胞病毒抗体测定IgM"</f>
        <v>巨细胞病毒抗体测定IgM</v>
      </c>
      <c r="B549" t="str">
        <f>"250403022-2"</f>
        <v>250403022-2</v>
      </c>
      <c r="C549" t="str">
        <f t="shared" si="166"/>
        <v>检验</v>
      </c>
      <c r="D549" t="str">
        <f>"002504030220000"</f>
        <v>002504030220000</v>
      </c>
      <c r="G549">
        <v>25</v>
      </c>
      <c r="I549" t="str">
        <f t="shared" si="168"/>
        <v>项</v>
      </c>
      <c r="K549" t="str">
        <f>"JXBBDKTCDIGM"</f>
        <v>JXBBDKTCDIGM</v>
      </c>
      <c r="L549" t="str">
        <f>"AXEUGRWIPIGM"</f>
        <v>AXEUGRWIPIGM</v>
      </c>
      <c r="M549">
        <v>25</v>
      </c>
      <c r="N549">
        <v>250403022</v>
      </c>
      <c r="O549" t="str">
        <f t="shared" si="169"/>
        <v>项</v>
      </c>
      <c r="P549" t="str">
        <f t="shared" si="167"/>
        <v>检验费</v>
      </c>
    </row>
    <row r="550" spans="1:16">
      <c r="A550" t="str">
        <f>"单纯疱疹病毒Ⅱ型抗体测定（各种免疫学方法）"</f>
        <v>单纯疱疹病毒Ⅱ型抗体测定（各种免疫学方法）</v>
      </c>
      <c r="B550">
        <v>250403023</v>
      </c>
      <c r="C550" t="str">
        <f t="shared" si="166"/>
        <v>检验</v>
      </c>
      <c r="D550" t="str">
        <f>"002504030230000"</f>
        <v>002504030230000</v>
      </c>
      <c r="G550">
        <v>25</v>
      </c>
      <c r="I550" t="str">
        <f>"-"</f>
        <v>-</v>
      </c>
      <c r="K550" t="str">
        <f>"DCZBDXKTCDGZMYXF"</f>
        <v>DCZBDXKTCDGZMYXF</v>
      </c>
      <c r="L550" t="str">
        <f>"UXUUUGGRWIPTTQUI"</f>
        <v>UXUUUGGRWIPTTQUI</v>
      </c>
      <c r="M550">
        <v>25</v>
      </c>
      <c r="N550">
        <v>250403023</v>
      </c>
      <c r="O550" t="str">
        <f t="shared" si="169"/>
        <v>项</v>
      </c>
      <c r="P550" t="str">
        <f t="shared" si="167"/>
        <v>检验费</v>
      </c>
    </row>
    <row r="551" spans="1:16">
      <c r="A551" t="str">
        <f>"单纯疱疹病毒Ⅰ型抗体测定（各种免疫学方法）"</f>
        <v>单纯疱疹病毒Ⅰ型抗体测定（各种免疫学方法）</v>
      </c>
      <c r="B551" t="str">
        <f>"250403023-2"</f>
        <v>250403023-2</v>
      </c>
      <c r="C551" t="str">
        <f t="shared" si="166"/>
        <v>检验</v>
      </c>
      <c r="G551">
        <v>25</v>
      </c>
      <c r="I551" t="str">
        <f t="shared" ref="I551:I560" si="170">"项"</f>
        <v>项</v>
      </c>
      <c r="K551" t="str">
        <f>"DCZBDXKTCDGZMYXF"</f>
        <v>DCZBDXKTCDGZMYXF</v>
      </c>
      <c r="L551" t="str">
        <f>"UXUUUGGRWIPTTQUI"</f>
        <v>UXUUUGGRWIPTTQUI</v>
      </c>
      <c r="M551">
        <v>25</v>
      </c>
      <c r="N551">
        <v>250403023</v>
      </c>
      <c r="O551" t="str">
        <f t="shared" si="169"/>
        <v>项</v>
      </c>
      <c r="P551" t="str">
        <f t="shared" si="167"/>
        <v>检验费</v>
      </c>
    </row>
    <row r="552" spans="1:16">
      <c r="A552" t="str">
        <f>"EB病毒抗体测定"</f>
        <v>EB病毒抗体测定</v>
      </c>
      <c r="B552">
        <v>250403025</v>
      </c>
      <c r="C552" t="str">
        <f t="shared" si="166"/>
        <v>检验</v>
      </c>
      <c r="D552" t="str">
        <f>"002504030250000"</f>
        <v>002504030250000</v>
      </c>
      <c r="G552">
        <v>20</v>
      </c>
      <c r="I552" t="str">
        <f t="shared" si="170"/>
        <v>项</v>
      </c>
      <c r="K552" t="str">
        <f>"EBBDKTCD"</f>
        <v>EBBDKTCD</v>
      </c>
      <c r="L552" t="str">
        <f>"ebUGRWIP"</f>
        <v>ebUGRWIP</v>
      </c>
      <c r="M552">
        <v>20</v>
      </c>
      <c r="N552">
        <v>250403025</v>
      </c>
      <c r="O552" t="str">
        <f t="shared" si="169"/>
        <v>项</v>
      </c>
      <c r="P552" t="str">
        <f t="shared" si="167"/>
        <v>检验费</v>
      </c>
    </row>
    <row r="553" spans="1:16">
      <c r="A553" t="str">
        <f>"呼吸道合胞病毒抗体测定"</f>
        <v>呼吸道合胞病毒抗体测定</v>
      </c>
      <c r="B553">
        <v>250403026</v>
      </c>
      <c r="C553" t="str">
        <f t="shared" si="166"/>
        <v>检验</v>
      </c>
      <c r="G553">
        <v>20</v>
      </c>
      <c r="I553" t="str">
        <f t="shared" si="170"/>
        <v>项</v>
      </c>
      <c r="K553" t="str">
        <f>"HXDHBBDKTCD"</f>
        <v>HXDHBBDKTCD</v>
      </c>
      <c r="L553" t="str">
        <f>"KKUWEUGRWIP"</f>
        <v>KKUWEUGRWIP</v>
      </c>
      <c r="M553">
        <v>20</v>
      </c>
      <c r="N553">
        <v>250403026</v>
      </c>
      <c r="O553" t="str">
        <f t="shared" si="169"/>
        <v>项</v>
      </c>
      <c r="P553" t="str">
        <f t="shared" si="167"/>
        <v>检验费</v>
      </c>
    </row>
    <row r="554" spans="1:16">
      <c r="A554" t="str">
        <f>"呼吸道合胞病毒抗原测定"</f>
        <v>呼吸道合胞病毒抗原测定</v>
      </c>
      <c r="B554">
        <v>250403027</v>
      </c>
      <c r="C554" t="str">
        <f t="shared" si="166"/>
        <v>检验</v>
      </c>
      <c r="G554">
        <v>20</v>
      </c>
      <c r="I554" t="str">
        <f t="shared" si="170"/>
        <v>项</v>
      </c>
      <c r="K554" t="str">
        <f>"HXDHBBDKYCD"</f>
        <v>HXDHBBDKYCD</v>
      </c>
      <c r="L554" t="str">
        <f>"KKUWEUGRDIP"</f>
        <v>KKUWEUGRDIP</v>
      </c>
      <c r="M554">
        <v>20</v>
      </c>
      <c r="N554">
        <v>250403027</v>
      </c>
      <c r="O554" t="str">
        <f t="shared" si="169"/>
        <v>项</v>
      </c>
      <c r="P554" t="str">
        <f t="shared" si="167"/>
        <v>检验费</v>
      </c>
    </row>
    <row r="555" spans="1:16">
      <c r="A555" t="str">
        <f>"副流感病毒抗体测定"</f>
        <v>副流感病毒抗体测定</v>
      </c>
      <c r="B555">
        <v>250403028</v>
      </c>
      <c r="C555" t="str">
        <f t="shared" si="166"/>
        <v>检验</v>
      </c>
      <c r="G555">
        <v>20</v>
      </c>
      <c r="I555" t="str">
        <f t="shared" si="170"/>
        <v>项</v>
      </c>
      <c r="K555" t="str">
        <f>"FLGBDKTCD"</f>
        <v>FLGBDKTCD</v>
      </c>
      <c r="L555" t="str">
        <f>"GIDUGRWIP"</f>
        <v>GIDUGRWIP</v>
      </c>
      <c r="M555">
        <v>20</v>
      </c>
      <c r="N555">
        <v>250403028</v>
      </c>
      <c r="O555" t="str">
        <f t="shared" si="169"/>
        <v>项</v>
      </c>
      <c r="P555" t="str">
        <f t="shared" si="167"/>
        <v>检验费</v>
      </c>
    </row>
    <row r="556" spans="1:16">
      <c r="A556" t="str">
        <f>"腺病毒抗体测定"</f>
        <v>腺病毒抗体测定</v>
      </c>
      <c r="B556">
        <v>250403031</v>
      </c>
      <c r="C556" t="str">
        <f t="shared" si="166"/>
        <v>检验</v>
      </c>
      <c r="G556">
        <v>15</v>
      </c>
      <c r="I556" t="str">
        <f t="shared" si="170"/>
        <v>项</v>
      </c>
      <c r="K556" t="str">
        <f>"XBDKTCD"</f>
        <v>XBDKTCD</v>
      </c>
      <c r="L556" t="str">
        <f>"EUGRWIP"</f>
        <v>EUGRWIP</v>
      </c>
      <c r="M556">
        <v>15</v>
      </c>
      <c r="N556">
        <v>250403031</v>
      </c>
      <c r="O556" t="str">
        <f t="shared" si="169"/>
        <v>项</v>
      </c>
      <c r="P556" t="str">
        <f t="shared" si="167"/>
        <v>检验费</v>
      </c>
    </row>
    <row r="557" spans="1:16">
      <c r="A557" t="str">
        <f>"病毒血清学试验"</f>
        <v>病毒血清学试验</v>
      </c>
      <c r="B557">
        <v>250403035</v>
      </c>
      <c r="C557" t="str">
        <f t="shared" si="166"/>
        <v>检验</v>
      </c>
      <c r="G557">
        <v>25</v>
      </c>
      <c r="I557" t="str">
        <f t="shared" si="170"/>
        <v>项</v>
      </c>
      <c r="K557" t="str">
        <f>"BDXQXSY"</f>
        <v>BDXQXSY</v>
      </c>
      <c r="L557" t="str">
        <f>"UGTIIYC"</f>
        <v>UGTIIYC</v>
      </c>
      <c r="M557">
        <v>25</v>
      </c>
      <c r="N557">
        <v>250403035</v>
      </c>
      <c r="O557" t="str">
        <f t="shared" si="169"/>
        <v>项</v>
      </c>
      <c r="P557" t="str">
        <f t="shared" si="167"/>
        <v>检验费</v>
      </c>
    </row>
    <row r="558" spans="1:16">
      <c r="A558" t="str">
        <f>"细菌抗体测定（各种免疫学方法）"</f>
        <v>细菌抗体测定（各种免疫学方法）</v>
      </c>
      <c r="B558">
        <v>250403042</v>
      </c>
      <c r="C558" t="str">
        <f t="shared" si="166"/>
        <v>检验</v>
      </c>
      <c r="D558" t="str">
        <f>"002504030420000"</f>
        <v>002504030420000</v>
      </c>
      <c r="G558">
        <v>25</v>
      </c>
      <c r="I558" t="str">
        <f t="shared" si="170"/>
        <v>项</v>
      </c>
      <c r="K558" t="str">
        <f>"XJKTCDGZMYXFF"</f>
        <v>XJKTCDGZMYXFF</v>
      </c>
      <c r="L558" t="str">
        <f>"XARWIPTTQUIYI"</f>
        <v>XARWIPTTQUIYI</v>
      </c>
      <c r="M558">
        <v>25</v>
      </c>
      <c r="N558">
        <v>250403042</v>
      </c>
      <c r="O558" t="str">
        <f t="shared" si="169"/>
        <v>项</v>
      </c>
      <c r="P558" t="str">
        <f t="shared" si="167"/>
        <v>检验费</v>
      </c>
    </row>
    <row r="559" spans="1:16">
      <c r="A559" t="str">
        <f>"细菌抗体测定（各种免疫学方法）(幽门螺杆菌抗体)"</f>
        <v>细菌抗体测定（各种免疫学方法）(幽门螺杆菌抗体)</v>
      </c>
      <c r="B559" t="str">
        <f>"250403042-1"</f>
        <v>250403042-1</v>
      </c>
      <c r="C559" t="str">
        <f t="shared" si="166"/>
        <v>检验</v>
      </c>
      <c r="G559">
        <v>25</v>
      </c>
      <c r="I559" t="str">
        <f t="shared" si="170"/>
        <v>项</v>
      </c>
      <c r="K559" t="str">
        <f>"XJKTCDGZMYXFFYML"</f>
        <v>XJKTCDGZMYXFFYML</v>
      </c>
      <c r="L559" t="str">
        <f>"XARWIPTTQUIYIXUJ"</f>
        <v>XARWIPTTQUIYIXUJ</v>
      </c>
      <c r="M559">
        <v>25</v>
      </c>
      <c r="N559">
        <v>250403042</v>
      </c>
      <c r="O559" t="str">
        <f t="shared" si="169"/>
        <v>项</v>
      </c>
      <c r="P559" t="str">
        <f t="shared" si="167"/>
        <v>检验费</v>
      </c>
    </row>
    <row r="560" spans="1:16">
      <c r="A560" t="str">
        <f>"细菌抗体测定"</f>
        <v>细菌抗体测定</v>
      </c>
      <c r="B560" t="str">
        <f>"250403042-a"</f>
        <v>250403042-a</v>
      </c>
      <c r="C560" t="str">
        <f t="shared" si="166"/>
        <v>检验</v>
      </c>
      <c r="D560" t="str">
        <f>"002504030420000"</f>
        <v>002504030420000</v>
      </c>
      <c r="G560">
        <v>45</v>
      </c>
      <c r="I560" t="str">
        <f t="shared" si="170"/>
        <v>项</v>
      </c>
      <c r="K560" t="str">
        <f>"XJKTCD"</f>
        <v>XJKTCD</v>
      </c>
      <c r="L560" t="str">
        <f>"XARWIP"</f>
        <v>XARWIP</v>
      </c>
      <c r="M560">
        <v>45</v>
      </c>
      <c r="N560" t="str">
        <f>"250403042-a"</f>
        <v>250403042-a</v>
      </c>
      <c r="O560" t="str">
        <f t="shared" si="169"/>
        <v>项</v>
      </c>
      <c r="P560" t="str">
        <f t="shared" si="167"/>
        <v>检验费</v>
      </c>
    </row>
    <row r="561" spans="1:16">
      <c r="A561" t="str">
        <f>"抗链球菌溶血素O测定(ASO)（免疫法）"</f>
        <v>抗链球菌溶血素O测定(ASO)（免疫法）</v>
      </c>
      <c r="B561" t="str">
        <f>"250403043-a"</f>
        <v>250403043-a</v>
      </c>
      <c r="C561" t="str">
        <f t="shared" si="166"/>
        <v>检验</v>
      </c>
      <c r="G561">
        <v>30</v>
      </c>
      <c r="I561" t="str">
        <f>"-"</f>
        <v>-</v>
      </c>
      <c r="K561" t="str">
        <f>"KLQJRXSOCDASOMYF"</f>
        <v>KLQJRXSOCDASOMYF</v>
      </c>
      <c r="L561" t="str">
        <f>"RQGAITGOIPASOQUI"</f>
        <v>RQGAITGOIPASOQUI</v>
      </c>
      <c r="M561">
        <v>30</v>
      </c>
      <c r="N561" t="str">
        <f>"250403043-a"</f>
        <v>250403043-a</v>
      </c>
      <c r="O561" t="str">
        <f t="shared" si="169"/>
        <v>项</v>
      </c>
      <c r="P561" t="str">
        <f t="shared" si="167"/>
        <v>检验费</v>
      </c>
    </row>
    <row r="562" spans="1:16">
      <c r="A562" t="str">
        <f>"肺炎支原体血清学试验免疫印迹法"</f>
        <v>肺炎支原体血清学试验免疫印迹法</v>
      </c>
      <c r="B562" t="str">
        <f>"250403050-a"</f>
        <v>250403050-a</v>
      </c>
      <c r="C562" t="str">
        <f t="shared" si="166"/>
        <v>检验</v>
      </c>
      <c r="D562" t="str">
        <f>"002504030500000"</f>
        <v>002504030500000</v>
      </c>
      <c r="G562">
        <v>45</v>
      </c>
      <c r="I562" t="str">
        <f t="shared" ref="I562:I567" si="171">"项"</f>
        <v>项</v>
      </c>
      <c r="K562" t="str">
        <f>"FYZYTXQXSYMYYJF"</f>
        <v>FYZYTXQXSYMYYJF</v>
      </c>
      <c r="L562" t="str">
        <f>"EOFDWTIIYCQUQYI"</f>
        <v>EOFDWTIIYCQUQYI</v>
      </c>
      <c r="M562">
        <v>45</v>
      </c>
      <c r="N562" t="str">
        <f>"250403050-a"</f>
        <v>250403050-a</v>
      </c>
      <c r="O562" t="str">
        <f t="shared" si="169"/>
        <v>项</v>
      </c>
      <c r="P562" t="str">
        <f t="shared" si="167"/>
        <v>检验费</v>
      </c>
    </row>
    <row r="563" spans="1:16">
      <c r="A563" t="str">
        <f>"梅毒螺旋体特异抗体测定（凝集法）"</f>
        <v>梅毒螺旋体特异抗体测定（凝集法）</v>
      </c>
      <c r="B563">
        <v>250403053</v>
      </c>
      <c r="C563" t="str">
        <f t="shared" si="166"/>
        <v>检验</v>
      </c>
      <c r="D563" t="str">
        <f>"002504030530000"</f>
        <v>002504030530000</v>
      </c>
      <c r="G563">
        <v>20</v>
      </c>
      <c r="I563" t="str">
        <f t="shared" si="171"/>
        <v>项</v>
      </c>
      <c r="K563" t="str">
        <f>"MDLXTTYKTC"</f>
        <v>MDLXTTYKTC</v>
      </c>
      <c r="L563" t="str">
        <f>"SGJYWTNRWI"</f>
        <v>SGJYWTNRWI</v>
      </c>
      <c r="M563">
        <v>20</v>
      </c>
      <c r="N563">
        <v>250403053</v>
      </c>
      <c r="O563" t="str">
        <f t="shared" si="169"/>
        <v>项</v>
      </c>
      <c r="P563" t="str">
        <f t="shared" si="167"/>
        <v>检验费</v>
      </c>
    </row>
    <row r="564" spans="1:16">
      <c r="A564" t="str">
        <f>"梅毒螺旋体特异抗体测定ELISA法"</f>
        <v>梅毒螺旋体特异抗体测定ELISA法</v>
      </c>
      <c r="B564" t="str">
        <f>"250403053-d"</f>
        <v>250403053-d</v>
      </c>
      <c r="C564" t="str">
        <f t="shared" si="166"/>
        <v>检验</v>
      </c>
      <c r="D564" t="str">
        <f>"002504030530000"</f>
        <v>002504030530000</v>
      </c>
      <c r="G564">
        <v>15</v>
      </c>
      <c r="I564" t="str">
        <f t="shared" si="171"/>
        <v>项</v>
      </c>
      <c r="K564" t="str">
        <f>"MDLXTTYKTCDELISA"</f>
        <v>MDLXTTYKTCDELISA</v>
      </c>
      <c r="L564" t="str">
        <f>"SGJYWTNRWIPELISA"</f>
        <v>SGJYWTNRWIPELISA</v>
      </c>
      <c r="M564">
        <v>25</v>
      </c>
      <c r="N564" t="str">
        <f>"250403053-d"</f>
        <v>250403053-d</v>
      </c>
      <c r="O564" t="str">
        <f t="shared" si="169"/>
        <v>项</v>
      </c>
      <c r="P564" t="str">
        <f t="shared" si="167"/>
        <v>检验费</v>
      </c>
    </row>
    <row r="565" spans="1:16">
      <c r="A565" t="str">
        <f>"快速血浆反应素检测"</f>
        <v>快速血浆反应素检测</v>
      </c>
      <c r="B565">
        <v>250403054</v>
      </c>
      <c r="C565" t="str">
        <f t="shared" si="166"/>
        <v>检验</v>
      </c>
      <c r="D565" t="str">
        <f>"002504030540000"</f>
        <v>002504030540000</v>
      </c>
      <c r="G565">
        <v>20</v>
      </c>
      <c r="I565" t="str">
        <f t="shared" si="171"/>
        <v>项</v>
      </c>
      <c r="K565" t="str">
        <f>"KSXJFYSJC"</f>
        <v>KSXJFYSJC</v>
      </c>
      <c r="L565" t="str">
        <f>"NGTURYGSI"</f>
        <v>NGTURYGSI</v>
      </c>
      <c r="M565">
        <v>20</v>
      </c>
      <c r="N565">
        <v>250403054</v>
      </c>
      <c r="O565" t="str">
        <f t="shared" si="169"/>
        <v>项</v>
      </c>
      <c r="P565" t="str">
        <f t="shared" si="167"/>
        <v>检验费</v>
      </c>
    </row>
    <row r="566" spans="1:16">
      <c r="A566" t="str">
        <f>"快速血浆反应素测定(梅毒、定量)"</f>
        <v>快速血浆反应素测定(梅毒、定量)</v>
      </c>
      <c r="B566" t="str">
        <f>"250403054-a"</f>
        <v>250403054-a</v>
      </c>
      <c r="C566" t="str">
        <f t="shared" si="166"/>
        <v>检验</v>
      </c>
      <c r="D566" t="str">
        <f>"002504030540000"</f>
        <v>002504030540000</v>
      </c>
      <c r="G566">
        <v>40</v>
      </c>
      <c r="I566" t="str">
        <f t="shared" si="171"/>
        <v>项</v>
      </c>
      <c r="K566" t="str">
        <f>"KSXJFYSCDMDDL"</f>
        <v>KSXJFYSCDMDDL</v>
      </c>
      <c r="L566" t="str">
        <f>"NGTURYGIPSGPJ"</f>
        <v>NGTURYGIPSGPJ</v>
      </c>
      <c r="M566">
        <v>40</v>
      </c>
      <c r="N566" t="str">
        <f>"250403054-a"</f>
        <v>250403054-a</v>
      </c>
      <c r="O566" t="str">
        <f t="shared" si="169"/>
        <v>项</v>
      </c>
      <c r="P566" t="str">
        <f t="shared" si="167"/>
        <v>检验费</v>
      </c>
    </row>
    <row r="567" spans="1:16">
      <c r="A567" t="str">
        <f>"丙型肝炎病毒RNA测定（荧光定量检测）"</f>
        <v>丙型肝炎病毒RNA测定（荧光定量检测）</v>
      </c>
      <c r="B567" t="str">
        <f>"250403065-a-3"</f>
        <v>250403065-a-3</v>
      </c>
      <c r="C567" t="str">
        <f t="shared" si="166"/>
        <v>检验</v>
      </c>
      <c r="G567">
        <v>150</v>
      </c>
      <c r="I567" t="str">
        <f t="shared" si="171"/>
        <v>项</v>
      </c>
      <c r="K567" t="str">
        <f>"BXGYBDRNACDYGDLJ"</f>
        <v>BXGYBDRNACDYGDLJ</v>
      </c>
      <c r="L567" t="str">
        <f>"GGEOUGRNAIPAIPJS"</f>
        <v>GGEOUGRNAIPAIPJS</v>
      </c>
      <c r="M567">
        <v>150</v>
      </c>
      <c r="N567" t="str">
        <f>"250403065-a"</f>
        <v>250403065-a</v>
      </c>
      <c r="O567" t="str">
        <f t="shared" si="169"/>
        <v>项</v>
      </c>
      <c r="P567" t="str">
        <f t="shared" si="167"/>
        <v>检验费</v>
      </c>
    </row>
    <row r="568" spans="1:16">
      <c r="A568" t="str">
        <f>"人乳头瘤病毒分型检测"</f>
        <v>人乳头瘤病毒分型检测</v>
      </c>
      <c r="B568" t="str">
        <f>"250403066-b"</f>
        <v>250403066-b</v>
      </c>
      <c r="C568" t="str">
        <f t="shared" si="166"/>
        <v>检验</v>
      </c>
      <c r="G568">
        <v>15</v>
      </c>
      <c r="I568" t="str">
        <f>"次"</f>
        <v>次</v>
      </c>
      <c r="K568" t="str">
        <f>"RRTLBDFXJC"</f>
        <v>RRTLBDFXJC</v>
      </c>
      <c r="L568" t="str">
        <f>"WEUUUGWGSI"</f>
        <v>WEUUUGWGSI</v>
      </c>
      <c r="M568">
        <v>15</v>
      </c>
      <c r="N568" t="str">
        <f>"250403066-b"</f>
        <v>250403066-b</v>
      </c>
      <c r="O568" t="str">
        <f>"每个亚型"</f>
        <v>每个亚型</v>
      </c>
      <c r="P568" t="str">
        <f t="shared" si="167"/>
        <v>检验费</v>
      </c>
    </row>
    <row r="569" spans="1:16">
      <c r="A569" t="str">
        <f>"幽门螺杆菌快速检测"</f>
        <v>幽门螺杆菌快速检测</v>
      </c>
      <c r="B569">
        <v>250403078</v>
      </c>
      <c r="C569" t="str">
        <f t="shared" si="166"/>
        <v>检验</v>
      </c>
      <c r="D569" t="str">
        <f>"002504030780000"</f>
        <v>002504030780000</v>
      </c>
      <c r="G569">
        <v>46</v>
      </c>
      <c r="I569" t="str">
        <f t="shared" ref="I569:I574" si="172">"项"</f>
        <v>项</v>
      </c>
      <c r="K569" t="str">
        <f>"YMLGJKSJC"</f>
        <v>YMLGJKSJC</v>
      </c>
      <c r="L569" t="str">
        <f>"XUJSANGSI"</f>
        <v>XUJSANGSI</v>
      </c>
      <c r="M569">
        <v>46</v>
      </c>
      <c r="N569">
        <v>250403078</v>
      </c>
      <c r="O569" t="str">
        <f t="shared" ref="O569:O574" si="173">"项"</f>
        <v>项</v>
      </c>
      <c r="P569" t="str">
        <f t="shared" si="167"/>
        <v>检验费</v>
      </c>
    </row>
    <row r="570" spans="1:16">
      <c r="A570" t="str">
        <f>"13碳尿素呼气试验"</f>
        <v>13碳尿素呼气试验</v>
      </c>
      <c r="B570">
        <v>250403079</v>
      </c>
      <c r="C570" t="str">
        <f>"其他"</f>
        <v>其他</v>
      </c>
      <c r="D570" t="str">
        <f>"002504030790000"</f>
        <v>002504030790000</v>
      </c>
      <c r="G570">
        <v>150</v>
      </c>
      <c r="I570" t="str">
        <f>"次"</f>
        <v>次</v>
      </c>
      <c r="K570" t="str">
        <f>"13TNSHQSY"</f>
        <v>13TNSHQSY</v>
      </c>
      <c r="L570" t="str">
        <f>"13DNGKRYC"</f>
        <v>13DNGKRYC</v>
      </c>
      <c r="M570">
        <v>200</v>
      </c>
      <c r="N570">
        <v>250403079</v>
      </c>
      <c r="O570" t="str">
        <f>"次"</f>
        <v>次</v>
      </c>
      <c r="P570" t="str">
        <f t="shared" si="167"/>
        <v>检验费</v>
      </c>
    </row>
    <row r="571" spans="1:16">
      <c r="A571" t="str">
        <f>"呼吸道感染病原体IgM抗体检测"</f>
        <v>呼吸道感染病原体IgM抗体检测</v>
      </c>
      <c r="B571">
        <v>250403083</v>
      </c>
      <c r="C571" t="str">
        <f t="shared" ref="C571:C626" si="174">"检验"</f>
        <v>检验</v>
      </c>
      <c r="G571">
        <v>45</v>
      </c>
      <c r="I571" t="str">
        <f t="shared" si="172"/>
        <v>项</v>
      </c>
      <c r="K571" t="str">
        <f>"HXDGRBYTIGMKTJC"</f>
        <v>HXDGRBYTIGMKTJC</v>
      </c>
      <c r="L571" t="str">
        <f>"KKUDIUDWigmRWSI"</f>
        <v>KKUDIUDWigmRWSI</v>
      </c>
      <c r="M571">
        <v>45</v>
      </c>
      <c r="N571">
        <v>250403083</v>
      </c>
      <c r="O571" t="str">
        <f t="shared" si="173"/>
        <v>项</v>
      </c>
      <c r="P571" t="str">
        <f t="shared" si="167"/>
        <v>检验费</v>
      </c>
    </row>
    <row r="572" spans="1:16">
      <c r="A572" t="str">
        <f>"胃泌素-17检测"</f>
        <v>胃泌素-17检测</v>
      </c>
      <c r="B572">
        <v>250403086</v>
      </c>
      <c r="C572" t="str">
        <f t="shared" si="174"/>
        <v>检验</v>
      </c>
      <c r="G572">
        <v>100</v>
      </c>
      <c r="I572" t="str">
        <f t="shared" si="172"/>
        <v>项</v>
      </c>
      <c r="K572" t="str">
        <f>"WMS17JC"</f>
        <v>WMS17JC</v>
      </c>
      <c r="L572" t="str">
        <f>"LIG17SI"</f>
        <v>LIG17SI</v>
      </c>
      <c r="M572">
        <v>105</v>
      </c>
      <c r="N572">
        <v>250403086</v>
      </c>
      <c r="O572" t="str">
        <f t="shared" si="173"/>
        <v>项</v>
      </c>
      <c r="P572" t="str">
        <f t="shared" si="167"/>
        <v>检验费</v>
      </c>
    </row>
    <row r="573" spans="1:16">
      <c r="A573" t="str">
        <f>"新型冠状病毒抗体检测"</f>
        <v>新型冠状病毒抗体检测</v>
      </c>
      <c r="B573">
        <v>250403091</v>
      </c>
      <c r="C573" t="str">
        <f t="shared" si="174"/>
        <v>检验</v>
      </c>
      <c r="D573" t="str">
        <f>"002504030860000"</f>
        <v>002504030860000</v>
      </c>
      <c r="G573">
        <v>30</v>
      </c>
      <c r="I573" t="str">
        <f t="shared" si="172"/>
        <v>项</v>
      </c>
      <c r="K573" t="str">
        <f>"XXGZBDKTJC"</f>
        <v>XXGZBDKTJC</v>
      </c>
      <c r="L573" t="str">
        <f>"UGPUUGRWSI"</f>
        <v>UGPUUGRWSI</v>
      </c>
      <c r="M573">
        <v>40</v>
      </c>
      <c r="N573">
        <v>250403091</v>
      </c>
      <c r="O573" t="str">
        <f t="shared" si="173"/>
        <v>项</v>
      </c>
      <c r="P573" t="str">
        <f t="shared" si="167"/>
        <v>检验费</v>
      </c>
    </row>
    <row r="574" spans="1:16">
      <c r="A574" t="str">
        <f>"新型冠状病毒核酸检测"</f>
        <v>新型冠状病毒核酸检测</v>
      </c>
      <c r="B574">
        <v>250403092</v>
      </c>
      <c r="C574" t="str">
        <f t="shared" si="174"/>
        <v>检验</v>
      </c>
      <c r="D574" t="str">
        <f>"002504030850000"</f>
        <v>002504030850000</v>
      </c>
      <c r="G574">
        <v>16</v>
      </c>
      <c r="I574" t="str">
        <f t="shared" si="172"/>
        <v>项</v>
      </c>
      <c r="K574" t="str">
        <f>"XXGZBDHSJC"</f>
        <v>XXGZBDHSJC</v>
      </c>
      <c r="L574" t="str">
        <f>"UGPUUGSSSI"</f>
        <v>UGPUUGSSSI</v>
      </c>
      <c r="M574">
        <v>120</v>
      </c>
      <c r="N574">
        <v>250403092</v>
      </c>
      <c r="O574" t="str">
        <f t="shared" si="173"/>
        <v>项</v>
      </c>
      <c r="P574" t="str">
        <f t="shared" si="167"/>
        <v>检验费</v>
      </c>
    </row>
    <row r="575" spans="1:16">
      <c r="A575" t="str">
        <f>"新型冠状病毒核酸检测（混检）"</f>
        <v>新型冠状病毒核酸检测（混检）</v>
      </c>
      <c r="B575" t="str">
        <f>"250403092-a"</f>
        <v>250403092-a</v>
      </c>
      <c r="C575" t="str">
        <f t="shared" si="174"/>
        <v>检验</v>
      </c>
      <c r="G575">
        <v>4</v>
      </c>
      <c r="I575" t="str">
        <f>"人次"</f>
        <v>人次</v>
      </c>
      <c r="K575" t="str">
        <f>"XXGZBDHSJCHJ"</f>
        <v>XXGZBDHSJCHJ</v>
      </c>
      <c r="L575" t="str">
        <f>"UGPUUGSSSIIS"</f>
        <v>UGPUUGSSSIIS</v>
      </c>
      <c r="M575">
        <v>20</v>
      </c>
      <c r="N575" t="str">
        <f>"250403092-a"</f>
        <v>250403092-a</v>
      </c>
      <c r="O575" t="str">
        <f>"次"</f>
        <v>次</v>
      </c>
      <c r="P575" t="str">
        <f t="shared" si="167"/>
        <v>检验费</v>
      </c>
    </row>
    <row r="576" spans="1:16">
      <c r="A576" t="str">
        <f>"癌胚抗原测定(CEA)各种免疫学方法"</f>
        <v>癌胚抗原测定(CEA)各种免疫学方法</v>
      </c>
      <c r="B576">
        <v>250404001</v>
      </c>
      <c r="C576" t="str">
        <f t="shared" si="174"/>
        <v>检验</v>
      </c>
      <c r="D576" t="str">
        <f>"002504040010000"</f>
        <v>002504040010000</v>
      </c>
      <c r="G576">
        <v>15</v>
      </c>
      <c r="I576" t="str">
        <f t="shared" ref="I576:I582" si="175">"项"</f>
        <v>项</v>
      </c>
      <c r="K576" t="str">
        <f>"APKYCD(CEA)GZMYXFF"</f>
        <v>APKYCD(CEA)GZMYXFF</v>
      </c>
      <c r="L576" t="str">
        <f>"UERDIP(cea)TTQUIYI"</f>
        <v>UERDIP(cea)TTQUIYI</v>
      </c>
      <c r="M576">
        <v>15</v>
      </c>
      <c r="N576">
        <v>250404001</v>
      </c>
      <c r="O576" t="str">
        <f t="shared" ref="O576:O582" si="176">"项"</f>
        <v>项</v>
      </c>
      <c r="P576" t="str">
        <f t="shared" si="167"/>
        <v>检验费</v>
      </c>
    </row>
    <row r="577" spans="1:16">
      <c r="A577" t="str">
        <f>"(CEA)癌胚抗原测定"</f>
        <v>(CEA)癌胚抗原测定</v>
      </c>
      <c r="B577" t="str">
        <f>"250404001-a"</f>
        <v>250404001-a</v>
      </c>
      <c r="C577" t="str">
        <f t="shared" si="174"/>
        <v>检验</v>
      </c>
      <c r="D577" t="str">
        <f>"002504040010000"</f>
        <v>002504040010000</v>
      </c>
      <c r="G577">
        <v>35</v>
      </c>
      <c r="I577" t="str">
        <f t="shared" si="175"/>
        <v>项</v>
      </c>
      <c r="K577" t="str">
        <f>"(CEA)APKYCD"</f>
        <v>(CEA)APKYCD</v>
      </c>
      <c r="L577" t="str">
        <f>"CEAUERDIP"</f>
        <v>CEAUERDIP</v>
      </c>
      <c r="M577">
        <v>45</v>
      </c>
      <c r="N577" t="str">
        <f>"250404001-a"</f>
        <v>250404001-a</v>
      </c>
      <c r="O577" t="str">
        <f t="shared" si="176"/>
        <v>项</v>
      </c>
      <c r="P577" t="str">
        <f t="shared" si="167"/>
        <v>检验费</v>
      </c>
    </row>
    <row r="578" spans="1:16">
      <c r="A578" t="str">
        <f>"甲胎蛋白测定(AFP)各种免疫学方法"</f>
        <v>甲胎蛋白测定(AFP)各种免疫学方法</v>
      </c>
      <c r="B578">
        <v>250404002</v>
      </c>
      <c r="C578" t="str">
        <f t="shared" si="174"/>
        <v>检验</v>
      </c>
      <c r="D578" t="str">
        <f>"002504040020000"</f>
        <v>002504040020000</v>
      </c>
      <c r="G578">
        <v>15</v>
      </c>
      <c r="I578" t="str">
        <f t="shared" si="175"/>
        <v>项</v>
      </c>
      <c r="K578" t="str">
        <f>"JTDBCD(AFP)GZMYXFF"</f>
        <v>JTDBCD(AFP)GZMYXFF</v>
      </c>
      <c r="L578" t="str">
        <f>"LENRIP(afp)TTQUIYI"</f>
        <v>LENRIP(afp)TTQUIYI</v>
      </c>
      <c r="M578">
        <v>15</v>
      </c>
      <c r="N578">
        <v>250404002</v>
      </c>
      <c r="O578" t="str">
        <f t="shared" si="176"/>
        <v>项</v>
      </c>
      <c r="P578" t="str">
        <f t="shared" si="167"/>
        <v>检验费</v>
      </c>
    </row>
    <row r="579" spans="1:16">
      <c r="A579" t="str">
        <f>"(AFP)甲胎蛋白测定"</f>
        <v>(AFP)甲胎蛋白测定</v>
      </c>
      <c r="B579" t="str">
        <f>"250404002-a"</f>
        <v>250404002-a</v>
      </c>
      <c r="C579" t="str">
        <f t="shared" si="174"/>
        <v>检验</v>
      </c>
      <c r="D579" t="str">
        <f>"002504040020000"</f>
        <v>002504040020000</v>
      </c>
      <c r="G579">
        <v>35</v>
      </c>
      <c r="I579" t="str">
        <f t="shared" si="175"/>
        <v>项</v>
      </c>
      <c r="K579" t="str">
        <f>"(AFP)JTDBCD"</f>
        <v>(AFP)JTDBCD</v>
      </c>
      <c r="L579" t="str">
        <f>"AFPLENRIP"</f>
        <v>AFPLENRIP</v>
      </c>
      <c r="M579">
        <v>40</v>
      </c>
      <c r="N579" t="str">
        <f>"250404002-a"</f>
        <v>250404002-a</v>
      </c>
      <c r="O579" t="str">
        <f t="shared" si="176"/>
        <v>项</v>
      </c>
      <c r="P579" t="str">
        <f t="shared" si="167"/>
        <v>检验费</v>
      </c>
    </row>
    <row r="580" spans="1:16">
      <c r="A580" t="str">
        <f>"总前列腺特异性抗原测定(TPSA)"</f>
        <v>总前列腺特异性抗原测定(TPSA)</v>
      </c>
      <c r="B580" t="str">
        <f>"250404005-a"</f>
        <v>250404005-a</v>
      </c>
      <c r="C580" t="str">
        <f t="shared" si="174"/>
        <v>检验</v>
      </c>
      <c r="D580" t="str">
        <f>"002504040050000"</f>
        <v>002504040050000</v>
      </c>
      <c r="G580">
        <v>50</v>
      </c>
      <c r="I580" t="str">
        <f t="shared" si="175"/>
        <v>项</v>
      </c>
      <c r="K580" t="str">
        <f>"ZQLXTYXKYCDTPSA"</f>
        <v>ZQLXTYXKYCDTPSA</v>
      </c>
      <c r="L580" t="str">
        <f>"UUGETNNRDIPTPSA"</f>
        <v>UUGETNNRDIPTPSA</v>
      </c>
      <c r="M580">
        <v>65</v>
      </c>
      <c r="N580" t="str">
        <f>"250404005-a"</f>
        <v>250404005-a</v>
      </c>
      <c r="O580" t="str">
        <f t="shared" si="176"/>
        <v>项</v>
      </c>
      <c r="P580" t="str">
        <f t="shared" si="167"/>
        <v>检验费</v>
      </c>
    </row>
    <row r="581" spans="1:16">
      <c r="A581" t="str">
        <f>"游离前列腺特异性抗原测定(FPSA)"</f>
        <v>游离前列腺特异性抗原测定(FPSA)</v>
      </c>
      <c r="B581" t="str">
        <f>"250404006-a"</f>
        <v>250404006-a</v>
      </c>
      <c r="C581" t="str">
        <f t="shared" si="174"/>
        <v>检验</v>
      </c>
      <c r="D581" t="str">
        <f>"002504040060000"</f>
        <v>002504040060000</v>
      </c>
      <c r="G581">
        <v>50</v>
      </c>
      <c r="I581" t="str">
        <f t="shared" si="175"/>
        <v>项</v>
      </c>
      <c r="K581" t="str">
        <f>"YLQLXTYXKY(FPSA)"</f>
        <v>YLQLXTYXKY(FPSA)</v>
      </c>
      <c r="L581" t="str">
        <f>"IYUGETNNRDIPFPSA"</f>
        <v>IYUGETNNRDIPFPSA</v>
      </c>
      <c r="M581">
        <v>65</v>
      </c>
      <c r="N581" t="str">
        <f>"250404006-a"</f>
        <v>250404006-a</v>
      </c>
      <c r="O581" t="str">
        <f t="shared" si="176"/>
        <v>项</v>
      </c>
      <c r="P581" t="str">
        <f t="shared" si="167"/>
        <v>检验费</v>
      </c>
    </row>
    <row r="582" spans="1:16">
      <c r="A582" t="str">
        <f>"神经元特异性烯醇化酶测定(NSE)"</f>
        <v>神经元特异性烯醇化酶测定(NSE)</v>
      </c>
      <c r="B582" t="str">
        <f>"250404009-a"</f>
        <v>250404009-a</v>
      </c>
      <c r="C582" t="str">
        <f t="shared" si="174"/>
        <v>检验</v>
      </c>
      <c r="D582" t="str">
        <f>"002504040090000"</f>
        <v>002504040090000</v>
      </c>
      <c r="G582">
        <v>50</v>
      </c>
      <c r="I582" t="str">
        <f t="shared" si="175"/>
        <v>项</v>
      </c>
      <c r="K582" t="str">
        <f>"SJYTYXXCHMCD(NSE)"</f>
        <v>SJYTYXXCHMCD(NSE)</v>
      </c>
      <c r="L582" t="str">
        <f>"PXFTNNOSWSIP(nse)"</f>
        <v>PXFTNNOSWSIP(nse)</v>
      </c>
      <c r="M582">
        <v>65</v>
      </c>
      <c r="N582" t="str">
        <f>"250404009-a"</f>
        <v>250404009-a</v>
      </c>
      <c r="O582" t="str">
        <f t="shared" si="176"/>
        <v>项</v>
      </c>
      <c r="P582" t="str">
        <f t="shared" si="167"/>
        <v>检验费</v>
      </c>
    </row>
    <row r="583" spans="1:16">
      <c r="A583" t="str">
        <f>"细胞角蛋白19片段测定(CYFRA21-1)（化学发光法、荧光免疫法）"</f>
        <v>细胞角蛋白19片段测定(CYFRA21-1)（化学发光法、荧光免疫法）</v>
      </c>
      <c r="B583" t="str">
        <f>"250404010-a"</f>
        <v>250404010-a</v>
      </c>
      <c r="C583" t="str">
        <f t="shared" si="174"/>
        <v>检验</v>
      </c>
      <c r="D583" t="str">
        <f>"002504040100000"</f>
        <v>002504040100000</v>
      </c>
      <c r="G583">
        <v>50</v>
      </c>
      <c r="I583" t="str">
        <f>"-"</f>
        <v>-</v>
      </c>
      <c r="K583" t="str">
        <f>"XBJDB19PDCDCYFRA"</f>
        <v>XBJDB19PDCDCYFRA</v>
      </c>
      <c r="L583" t="str">
        <f>"XEQNR19TWIPCYFRA"</f>
        <v>XEQNR19TWIPCYFRA</v>
      </c>
      <c r="M583">
        <v>65</v>
      </c>
      <c r="N583" t="str">
        <f>"250404010-a"</f>
        <v>250404010-a</v>
      </c>
      <c r="O583" t="str">
        <f>"次"</f>
        <v>次</v>
      </c>
      <c r="P583" t="str">
        <f t="shared" si="167"/>
        <v>检验费</v>
      </c>
    </row>
    <row r="584" spans="1:16">
      <c r="A584" t="str">
        <f>"糖类抗原测定CA125(化学发光法、荧光免疫法)"</f>
        <v>糖类抗原测定CA125(化学发光法、荧光免疫法)</v>
      </c>
      <c r="B584" t="str">
        <f>"250404011-a"</f>
        <v>250404011-a</v>
      </c>
      <c r="C584" t="str">
        <f t="shared" si="174"/>
        <v>检验</v>
      </c>
      <c r="D584" t="str">
        <f t="shared" ref="D584:D591" si="177">"002504040110000"</f>
        <v>002504040110000</v>
      </c>
      <c r="G584">
        <v>50</v>
      </c>
      <c r="I584" t="str">
        <f t="shared" ref="I584:I587" si="178">"项"</f>
        <v>项</v>
      </c>
      <c r="K584" t="str">
        <f>"TLKYCDCA125HXFGF"</f>
        <v>TLKYCDCA125HXFGF</v>
      </c>
      <c r="L584" t="str">
        <f>"OORDIPCA125WINII"</f>
        <v>OORDIPCA125WINII</v>
      </c>
      <c r="M584">
        <v>65</v>
      </c>
      <c r="N584" t="str">
        <f t="shared" ref="N584:N591" si="179">"250404011-a"</f>
        <v>250404011-a</v>
      </c>
      <c r="O584" t="str">
        <f t="shared" ref="O584:O587" si="180">"项"</f>
        <v>项</v>
      </c>
      <c r="P584" t="str">
        <f t="shared" si="167"/>
        <v>检验费</v>
      </c>
    </row>
    <row r="585" spans="1:16">
      <c r="A585" t="str">
        <f>"糖类抗原测定CA19-9(化学发光法、荧光免疫法)"</f>
        <v>糖类抗原测定CA19-9(化学发光法、荧光免疫法)</v>
      </c>
      <c r="B585" t="str">
        <f>"250404011-a-1"</f>
        <v>250404011-a-1</v>
      </c>
      <c r="C585" t="str">
        <f t="shared" si="174"/>
        <v>检验</v>
      </c>
      <c r="D585" t="str">
        <f t="shared" si="177"/>
        <v>002504040110000</v>
      </c>
      <c r="G585">
        <v>50</v>
      </c>
      <c r="I585" t="str">
        <f t="shared" si="178"/>
        <v>项</v>
      </c>
      <c r="K585" t="str">
        <f>"TLKYCDCA199HXFGF"</f>
        <v>TLKYCDCA199HXFGF</v>
      </c>
      <c r="L585" t="str">
        <f>"OORDIPCA199WINII"</f>
        <v>OORDIPCA199WINII</v>
      </c>
      <c r="M585">
        <v>65</v>
      </c>
      <c r="N585" t="str">
        <f t="shared" si="179"/>
        <v>250404011-a</v>
      </c>
      <c r="O585" t="str">
        <f t="shared" si="180"/>
        <v>项</v>
      </c>
      <c r="P585" t="str">
        <f t="shared" si="167"/>
        <v>检验费</v>
      </c>
    </row>
    <row r="586" spans="1:16">
      <c r="A586" t="str">
        <f>"糖类抗原测定CA15-3(化学发光法、荧光免疫法)"</f>
        <v>糖类抗原测定CA15-3(化学发光法、荧光免疫法)</v>
      </c>
      <c r="B586" t="str">
        <f>"250404011-a-2"</f>
        <v>250404011-a-2</v>
      </c>
      <c r="C586" t="str">
        <f t="shared" si="174"/>
        <v>检验</v>
      </c>
      <c r="D586" t="str">
        <f t="shared" si="177"/>
        <v>002504040110000</v>
      </c>
      <c r="G586">
        <v>50</v>
      </c>
      <c r="I586" t="str">
        <f t="shared" si="178"/>
        <v>项</v>
      </c>
      <c r="K586" t="str">
        <f>"TLKYCDCA153HXFGF"</f>
        <v>TLKYCDCA153HXFGF</v>
      </c>
      <c r="L586" t="str">
        <f>"OORDIPCA153WINII"</f>
        <v>OORDIPCA153WINII</v>
      </c>
      <c r="M586">
        <v>65</v>
      </c>
      <c r="N586" t="str">
        <f t="shared" si="179"/>
        <v>250404011-a</v>
      </c>
      <c r="O586" t="str">
        <f t="shared" si="180"/>
        <v>项</v>
      </c>
      <c r="P586" t="str">
        <f t="shared" si="167"/>
        <v>检验费</v>
      </c>
    </row>
    <row r="587" spans="1:16">
      <c r="A587" t="str">
        <f>"糖类抗原测定CA72-4(化学发光法、荧光免疫法)"</f>
        <v>糖类抗原测定CA72-4(化学发光法、荧光免疫法)</v>
      </c>
      <c r="B587" t="str">
        <f>"250404011-a-3"</f>
        <v>250404011-a-3</v>
      </c>
      <c r="C587" t="str">
        <f t="shared" si="174"/>
        <v>检验</v>
      </c>
      <c r="D587" t="str">
        <f t="shared" si="177"/>
        <v>002504040110000</v>
      </c>
      <c r="G587">
        <v>50</v>
      </c>
      <c r="I587" t="str">
        <f t="shared" si="178"/>
        <v>项</v>
      </c>
      <c r="K587" t="str">
        <f>"TLKYCDCA724HXFGF"</f>
        <v>TLKYCDCA724HXFGF</v>
      </c>
      <c r="L587" t="str">
        <f>"OORDIPCA724WINII"</f>
        <v>OORDIPCA724WINII</v>
      </c>
      <c r="M587">
        <v>65</v>
      </c>
      <c r="N587" t="str">
        <f t="shared" si="179"/>
        <v>250404011-a</v>
      </c>
      <c r="O587" t="str">
        <f t="shared" si="180"/>
        <v>项</v>
      </c>
      <c r="P587" t="str">
        <f t="shared" si="167"/>
        <v>检验费</v>
      </c>
    </row>
    <row r="588" spans="1:16">
      <c r="A588" t="str">
        <f>"糖类抗原测定CA24-2(化学发光法、荧光免疫法)"</f>
        <v>糖类抗原测定CA24-2(化学发光法、荧光免疫法)</v>
      </c>
      <c r="B588" t="str">
        <f>"250404011-a-4"</f>
        <v>250404011-a-4</v>
      </c>
      <c r="C588" t="str">
        <f t="shared" si="174"/>
        <v>检验</v>
      </c>
      <c r="D588" t="str">
        <f t="shared" si="177"/>
        <v>002504040110000</v>
      </c>
      <c r="G588">
        <v>50</v>
      </c>
      <c r="I588" t="str">
        <f t="shared" ref="I588:I591" si="181">"/"</f>
        <v>/</v>
      </c>
      <c r="K588" t="str">
        <f>"TLKYCDCA242HXFGF"</f>
        <v>TLKYCDCA242HXFGF</v>
      </c>
      <c r="L588" t="str">
        <f>"OORDIPCA242WINII"</f>
        <v>OORDIPCA242WINII</v>
      </c>
      <c r="M588">
        <v>65</v>
      </c>
      <c r="N588" t="str">
        <f t="shared" si="179"/>
        <v>250404011-a</v>
      </c>
      <c r="O588" t="str">
        <f t="shared" ref="O588:O591" si="182">"次"</f>
        <v>次</v>
      </c>
      <c r="P588" t="str">
        <f t="shared" si="167"/>
        <v>检验费</v>
      </c>
    </row>
    <row r="589" spans="1:16">
      <c r="A589" t="str">
        <f>"糖类抗原测定CA130(化学发光法、荧光免疫法)"</f>
        <v>糖类抗原测定CA130(化学发光法、荧光免疫法)</v>
      </c>
      <c r="B589" t="str">
        <f>"250404011-a-5"</f>
        <v>250404011-a-5</v>
      </c>
      <c r="C589" t="str">
        <f t="shared" si="174"/>
        <v>检验</v>
      </c>
      <c r="D589" t="str">
        <f t="shared" si="177"/>
        <v>002504040110000</v>
      </c>
      <c r="G589">
        <v>50</v>
      </c>
      <c r="I589" t="str">
        <f t="shared" si="181"/>
        <v>/</v>
      </c>
      <c r="K589" t="str">
        <f>"TLKYCDCA130HXFGF"</f>
        <v>TLKYCDCA130HXFGF</v>
      </c>
      <c r="L589" t="str">
        <f>"OORDIPCA130WINII"</f>
        <v>OORDIPCA130WINII</v>
      </c>
      <c r="M589">
        <v>65</v>
      </c>
      <c r="N589" t="str">
        <f t="shared" si="179"/>
        <v>250404011-a</v>
      </c>
      <c r="O589" t="str">
        <f t="shared" si="182"/>
        <v>次</v>
      </c>
      <c r="P589" t="str">
        <f t="shared" si="167"/>
        <v>检验费</v>
      </c>
    </row>
    <row r="590" spans="1:16">
      <c r="A590" t="str">
        <f>"糖类抗原测定CA-50(化学发光法、荧光免疫法)"</f>
        <v>糖类抗原测定CA-50(化学发光法、荧光免疫法)</v>
      </c>
      <c r="B590" t="str">
        <f>"250404011-a-6"</f>
        <v>250404011-a-6</v>
      </c>
      <c r="C590" t="str">
        <f t="shared" si="174"/>
        <v>检验</v>
      </c>
      <c r="D590" t="str">
        <f t="shared" si="177"/>
        <v>002504040110000</v>
      </c>
      <c r="G590">
        <v>50</v>
      </c>
      <c r="I590" t="str">
        <f t="shared" si="181"/>
        <v>/</v>
      </c>
      <c r="K590" t="str">
        <f>"TLKYCDCA50HXFGFY"</f>
        <v>TLKYCDCA50HXFGFY</v>
      </c>
      <c r="L590" t="str">
        <f>"OORDIPCA50WINIIA"</f>
        <v>OORDIPCA50WINIIA</v>
      </c>
      <c r="M590">
        <v>65</v>
      </c>
      <c r="N590" t="str">
        <f t="shared" si="179"/>
        <v>250404011-a</v>
      </c>
      <c r="O590" t="str">
        <f t="shared" si="182"/>
        <v>次</v>
      </c>
      <c r="P590" t="str">
        <f t="shared" si="167"/>
        <v>检验费</v>
      </c>
    </row>
    <row r="591" spans="1:16">
      <c r="A591" t="str">
        <f>"糖类抗原测定CA-29(化学发光法、荧光免疫法)"</f>
        <v>糖类抗原测定CA-29(化学发光法、荧光免疫法)</v>
      </c>
      <c r="B591" t="str">
        <f>"250404011-a-7"</f>
        <v>250404011-a-7</v>
      </c>
      <c r="C591" t="str">
        <f t="shared" si="174"/>
        <v>检验</v>
      </c>
      <c r="D591" t="str">
        <f t="shared" si="177"/>
        <v>002504040110000</v>
      </c>
      <c r="G591">
        <v>50</v>
      </c>
      <c r="I591" t="str">
        <f t="shared" si="181"/>
        <v>/</v>
      </c>
      <c r="K591" t="str">
        <f>"TLKYCDCA29HXFGFY"</f>
        <v>TLKYCDCA29HXFGFY</v>
      </c>
      <c r="L591" t="str">
        <f>"OORDIPCA29WINIIA"</f>
        <v>OORDIPCA29WINIIA</v>
      </c>
      <c r="M591">
        <v>65</v>
      </c>
      <c r="N591" t="str">
        <f t="shared" si="179"/>
        <v>250404011-a</v>
      </c>
      <c r="O591" t="str">
        <f t="shared" si="182"/>
        <v>次</v>
      </c>
      <c r="P591" t="str">
        <f t="shared" si="167"/>
        <v>检验费</v>
      </c>
    </row>
    <row r="592" spans="1:16">
      <c r="A592" t="str">
        <f>"鳞状细胞癌相关抗原测定"</f>
        <v>鳞状细胞癌相关抗原测定</v>
      </c>
      <c r="B592" t="str">
        <f>"250404012-a"</f>
        <v>250404012-a</v>
      </c>
      <c r="C592" t="str">
        <f t="shared" si="174"/>
        <v>检验</v>
      </c>
      <c r="D592" t="str">
        <f>"002504040120000"</f>
        <v>002504040120000</v>
      </c>
      <c r="G592">
        <v>50</v>
      </c>
      <c r="I592">
        <v>1</v>
      </c>
      <c r="K592" t="str">
        <f>"LZXBAXGKYCD"</f>
        <v>LZXBAXGKYCD</v>
      </c>
      <c r="L592" t="str">
        <f>"QUXEUSURDIP"</f>
        <v>QUXEUSURDIP</v>
      </c>
      <c r="M592">
        <v>65</v>
      </c>
      <c r="N592" t="str">
        <f>"250404012-a"</f>
        <v>250404012-a</v>
      </c>
      <c r="O592" t="str">
        <f t="shared" ref="O592:O594" si="183">"项"</f>
        <v>项</v>
      </c>
      <c r="P592" t="str">
        <f t="shared" si="167"/>
        <v>检验费</v>
      </c>
    </row>
    <row r="593" spans="1:16">
      <c r="A593" t="str">
        <f>"铁蛋白测定各种发光法，定量测定"</f>
        <v>铁蛋白测定各种发光法，定量测定</v>
      </c>
      <c r="B593" t="str">
        <f>"250404015-a"</f>
        <v>250404015-a</v>
      </c>
      <c r="C593" t="str">
        <f t="shared" si="174"/>
        <v>检验</v>
      </c>
      <c r="D593" t="str">
        <f>"002504040150000"</f>
        <v>002504040150000</v>
      </c>
      <c r="G593">
        <v>34</v>
      </c>
      <c r="I593" t="str">
        <f t="shared" ref="I593:I599" si="184">"项"</f>
        <v>项</v>
      </c>
      <c r="K593" t="str">
        <f>"TDBCDGZFGFZDLCD"</f>
        <v>TDBCDGZFGFZDLCD</v>
      </c>
      <c r="L593" t="str">
        <f>"QNRIPTTNIIPJIP"</f>
        <v>QNRIPTTNIIPJIP</v>
      </c>
      <c r="M593">
        <v>55</v>
      </c>
      <c r="N593" t="str">
        <f>"250404015-a"</f>
        <v>250404015-a</v>
      </c>
      <c r="O593" t="str">
        <f t="shared" si="183"/>
        <v>项</v>
      </c>
      <c r="P593" t="str">
        <f t="shared" si="167"/>
        <v>检验费</v>
      </c>
    </row>
    <row r="594" spans="1:16">
      <c r="A594" t="str">
        <f>"恶性肿瘤特异生长因子（TSGF）测定"</f>
        <v>恶性肿瘤特异生长因子（TSGF）测定</v>
      </c>
      <c r="B594">
        <v>250404017</v>
      </c>
      <c r="C594" t="str">
        <f t="shared" si="174"/>
        <v>检验</v>
      </c>
      <c r="D594" t="str">
        <f>"002504040170000"</f>
        <v>002504040170000</v>
      </c>
      <c r="G594">
        <v>50</v>
      </c>
      <c r="I594" t="str">
        <f t="shared" si="184"/>
        <v>项</v>
      </c>
      <c r="K594" t="str">
        <f>"EXZLTYSCYZZTSGFZCD"</f>
        <v>EXZLTYSCYZZTSGFZCD</v>
      </c>
      <c r="L594" t="str">
        <f>"GNEUTNTTLBtsgfIP"</f>
        <v>GNEUTNTTLBtsgfIP</v>
      </c>
      <c r="M594">
        <v>65</v>
      </c>
      <c r="N594">
        <v>250404017</v>
      </c>
      <c r="O594" t="str">
        <f t="shared" si="183"/>
        <v>项</v>
      </c>
      <c r="P594" t="str">
        <f t="shared" si="167"/>
        <v>检验费</v>
      </c>
    </row>
    <row r="595" spans="1:16">
      <c r="A595" t="str">
        <f>"血清胃蛋白酶原Ⅰ测定(PGⅠ)"</f>
        <v>血清胃蛋白酶原Ⅰ测定(PGⅠ)</v>
      </c>
      <c r="B595" t="str">
        <f>"250404028-b-1"</f>
        <v>250404028-b-1</v>
      </c>
      <c r="C595" t="str">
        <f t="shared" si="174"/>
        <v>检验</v>
      </c>
      <c r="G595">
        <v>90</v>
      </c>
      <c r="I595" t="str">
        <f t="shared" ref="I595:I600" si="185">"次"</f>
        <v>次</v>
      </c>
      <c r="K595" t="str">
        <f>"XQWDBMYCDPG"</f>
        <v>XQWDBMYCDPG</v>
      </c>
      <c r="L595" t="str">
        <f>"TILNRSDIPPG"</f>
        <v>TILNRSDIPPG</v>
      </c>
      <c r="M595">
        <v>90</v>
      </c>
      <c r="N595" t="str">
        <f>"250404028-b"</f>
        <v>250404028-b</v>
      </c>
      <c r="O595" t="str">
        <f t="shared" ref="O595:O600" si="186">"次"</f>
        <v>次</v>
      </c>
      <c r="P595" t="str">
        <f t="shared" si="167"/>
        <v>检验费</v>
      </c>
    </row>
    <row r="596" spans="1:16">
      <c r="A596" t="str">
        <f>"血清胃蛋白酶原Ⅱ测定(PGⅡ)"</f>
        <v>血清胃蛋白酶原Ⅱ测定(PGⅡ)</v>
      </c>
      <c r="B596" t="str">
        <f>"250404028-b-2"</f>
        <v>250404028-b-2</v>
      </c>
      <c r="C596" t="str">
        <f t="shared" si="174"/>
        <v>检验</v>
      </c>
      <c r="G596">
        <v>90</v>
      </c>
      <c r="I596" t="str">
        <f t="shared" si="185"/>
        <v>次</v>
      </c>
      <c r="K596" t="str">
        <f>"XQWDBMYCDPG"</f>
        <v>XQWDBMYCDPG</v>
      </c>
      <c r="L596" t="str">
        <f>"TILNRSDIPPG"</f>
        <v>TILNRSDIPPG</v>
      </c>
      <c r="M596">
        <v>90</v>
      </c>
      <c r="N596" t="str">
        <f>"250404028-b"</f>
        <v>250404028-b</v>
      </c>
      <c r="O596" t="str">
        <f t="shared" si="186"/>
        <v>次</v>
      </c>
      <c r="P596" t="str">
        <f t="shared" si="167"/>
        <v>检验费</v>
      </c>
    </row>
    <row r="597" spans="1:16">
      <c r="A597" t="str">
        <f>"吸入物变应原筛查"</f>
        <v>吸入物变应原筛查</v>
      </c>
      <c r="B597">
        <v>250405002</v>
      </c>
      <c r="C597" t="str">
        <f t="shared" si="174"/>
        <v>检验</v>
      </c>
      <c r="G597">
        <v>30</v>
      </c>
      <c r="I597" t="str">
        <f t="shared" si="184"/>
        <v>项</v>
      </c>
      <c r="K597" t="str">
        <f>"XRWBYYSC"</f>
        <v>XRWBYYSC</v>
      </c>
      <c r="L597" t="str">
        <f>"KTTYYDTS"</f>
        <v>KTTYYDTS</v>
      </c>
      <c r="M597">
        <v>30</v>
      </c>
      <c r="N597">
        <v>250405002</v>
      </c>
      <c r="O597" t="str">
        <f t="shared" ref="O597:O599" si="187">"项"</f>
        <v>项</v>
      </c>
      <c r="P597" t="str">
        <f t="shared" si="167"/>
        <v>检验费</v>
      </c>
    </row>
    <row r="598" spans="1:16">
      <c r="A598" t="str">
        <f>"食入物变应原筛查"</f>
        <v>食入物变应原筛查</v>
      </c>
      <c r="B598">
        <v>250405003</v>
      </c>
      <c r="C598" t="str">
        <f t="shared" si="174"/>
        <v>检验</v>
      </c>
      <c r="G598">
        <v>30</v>
      </c>
      <c r="I598" t="str">
        <f t="shared" si="184"/>
        <v>项</v>
      </c>
      <c r="K598" t="str">
        <f>"SRWBYYSC"</f>
        <v>SRWBYYSC</v>
      </c>
      <c r="L598" t="str">
        <f>"WTTYYDTS"</f>
        <v>WTTYYDTS</v>
      </c>
      <c r="M598">
        <v>30</v>
      </c>
      <c r="N598">
        <v>250405003</v>
      </c>
      <c r="O598" t="str">
        <f t="shared" si="187"/>
        <v>项</v>
      </c>
      <c r="P598" t="str">
        <f t="shared" si="167"/>
        <v>检验费</v>
      </c>
    </row>
    <row r="599" spans="1:16">
      <c r="A599" t="str">
        <f>"一般细菌涂片检查"</f>
        <v>一般细菌涂片检查</v>
      </c>
      <c r="B599">
        <v>250501001</v>
      </c>
      <c r="C599" t="str">
        <f t="shared" si="174"/>
        <v>检验</v>
      </c>
      <c r="D599" t="str">
        <f>"002505010010000"</f>
        <v>002505010010000</v>
      </c>
      <c r="G599">
        <v>10</v>
      </c>
      <c r="I599" t="str">
        <f t="shared" si="184"/>
        <v>项</v>
      </c>
      <c r="K599" t="str">
        <f>"YBXJTPJC"</f>
        <v>YBXJTPJC</v>
      </c>
      <c r="L599" t="str">
        <f>"GTXAITSS"</f>
        <v>GTXAITSS</v>
      </c>
      <c r="M599">
        <v>10</v>
      </c>
      <c r="N599">
        <v>250501001</v>
      </c>
      <c r="O599" t="str">
        <f t="shared" si="187"/>
        <v>项</v>
      </c>
      <c r="P599" t="str">
        <f t="shared" si="167"/>
        <v>检验费</v>
      </c>
    </row>
    <row r="600" spans="1:16">
      <c r="A600" t="str">
        <f>"特殊细菌涂片检查"</f>
        <v>特殊细菌涂片检查</v>
      </c>
      <c r="B600">
        <v>250501004</v>
      </c>
      <c r="C600" t="str">
        <f t="shared" si="174"/>
        <v>检验</v>
      </c>
      <c r="D600" t="str">
        <f>"002505010040000"</f>
        <v>002505010040000</v>
      </c>
      <c r="G600">
        <v>5</v>
      </c>
      <c r="I600" t="str">
        <f t="shared" si="185"/>
        <v>次</v>
      </c>
      <c r="K600" t="str">
        <f>"TSXJTPJC"</f>
        <v>TSXJTPJC</v>
      </c>
      <c r="L600" t="str">
        <f>"TGXAITSS"</f>
        <v>TGXAITSS</v>
      </c>
      <c r="M600">
        <v>5</v>
      </c>
      <c r="N600">
        <v>250501004</v>
      </c>
      <c r="O600" t="str">
        <f t="shared" si="186"/>
        <v>次</v>
      </c>
      <c r="P600" t="str">
        <f t="shared" si="167"/>
        <v>检验费</v>
      </c>
    </row>
    <row r="601" spans="1:16">
      <c r="A601" t="str">
        <f>"血培养及鉴定"</f>
        <v>血培养及鉴定</v>
      </c>
      <c r="B601">
        <v>250501011</v>
      </c>
      <c r="C601" t="str">
        <f t="shared" si="174"/>
        <v>检验</v>
      </c>
      <c r="D601" t="str">
        <f>"002505010110000"</f>
        <v>002505010110000</v>
      </c>
      <c r="G601">
        <v>100</v>
      </c>
      <c r="I601" t="str">
        <f t="shared" ref="I601:I611" si="188">"项"</f>
        <v>项</v>
      </c>
      <c r="K601" t="str">
        <f>"XPYJJD"</f>
        <v>XPYJJD</v>
      </c>
      <c r="L601" t="str">
        <f>"TFUEJP"</f>
        <v>TFUEJP</v>
      </c>
      <c r="M601">
        <v>100</v>
      </c>
      <c r="N601">
        <v>250501011</v>
      </c>
      <c r="O601" t="str">
        <f t="shared" ref="O601:O611" si="189">"项"</f>
        <v>项</v>
      </c>
      <c r="P601" t="str">
        <f t="shared" si="167"/>
        <v>检验费</v>
      </c>
    </row>
    <row r="602" spans="1:16">
      <c r="A602" t="str">
        <f>"嗜血杆菌培养"</f>
        <v>嗜血杆菌培养</v>
      </c>
      <c r="B602">
        <v>250501017</v>
      </c>
      <c r="C602" t="str">
        <f t="shared" si="174"/>
        <v>检验</v>
      </c>
      <c r="D602" t="str">
        <f>"002505010170000"</f>
        <v>002505010170000</v>
      </c>
      <c r="G602">
        <v>20</v>
      </c>
      <c r="I602" t="str">
        <f t="shared" si="188"/>
        <v>项</v>
      </c>
      <c r="K602" t="str">
        <f>"SXGJPY"</f>
        <v>SXGJPY</v>
      </c>
      <c r="L602" t="str">
        <f>"KTSAFU"</f>
        <v>KTSAFU</v>
      </c>
      <c r="M602">
        <v>20</v>
      </c>
      <c r="N602">
        <v>250501017</v>
      </c>
      <c r="O602" t="str">
        <f t="shared" si="189"/>
        <v>项</v>
      </c>
      <c r="P602" t="str">
        <f t="shared" si="167"/>
        <v>检验费</v>
      </c>
    </row>
    <row r="603" spans="1:16">
      <c r="A603" t="str">
        <f>"霍乱弧菌培养"</f>
        <v>霍乱弧菌培养</v>
      </c>
      <c r="B603">
        <v>250501018</v>
      </c>
      <c r="C603" t="str">
        <f t="shared" si="174"/>
        <v>检验</v>
      </c>
      <c r="D603" t="str">
        <f>"002505010180000"</f>
        <v>002505010180000</v>
      </c>
      <c r="G603">
        <v>20</v>
      </c>
      <c r="I603" t="str">
        <f t="shared" si="188"/>
        <v>项</v>
      </c>
      <c r="K603" t="str">
        <f>"HLHJPY"</f>
        <v>HLHJPY</v>
      </c>
      <c r="L603" t="str">
        <f>"GTXAFU"</f>
        <v>GTXAFU</v>
      </c>
      <c r="M603">
        <v>20</v>
      </c>
      <c r="N603">
        <v>250501018</v>
      </c>
      <c r="O603" t="str">
        <f t="shared" si="189"/>
        <v>项</v>
      </c>
      <c r="P603" t="str">
        <f t="shared" si="167"/>
        <v>检验费</v>
      </c>
    </row>
    <row r="604" spans="1:16">
      <c r="A604" t="str">
        <f>"幽门螺杆菌培养及鉴定"</f>
        <v>幽门螺杆菌培养及鉴定</v>
      </c>
      <c r="B604">
        <v>250501022</v>
      </c>
      <c r="C604" t="str">
        <f t="shared" si="174"/>
        <v>检验</v>
      </c>
      <c r="D604" t="str">
        <f>"002505010220000"</f>
        <v>002505010220000</v>
      </c>
      <c r="G604">
        <v>40</v>
      </c>
      <c r="I604" t="str">
        <f t="shared" si="188"/>
        <v>项</v>
      </c>
      <c r="K604" t="str">
        <f>"YMLGJPYJJD"</f>
        <v>YMLGJPYJJD</v>
      </c>
      <c r="L604" t="str">
        <f>"XUJSAFUEJP"</f>
        <v>XUJSAFUEJP</v>
      </c>
      <c r="M604">
        <v>40</v>
      </c>
      <c r="N604">
        <v>250501022</v>
      </c>
      <c r="O604" t="str">
        <f t="shared" si="189"/>
        <v>项</v>
      </c>
      <c r="P604" t="str">
        <f t="shared" si="167"/>
        <v>检验费</v>
      </c>
    </row>
    <row r="605" spans="1:16">
      <c r="A605" t="str">
        <f>"沙门菌、志贺菌培养及鉴定"</f>
        <v>沙门菌、志贺菌培养及鉴定</v>
      </c>
      <c r="B605">
        <v>250501025</v>
      </c>
      <c r="C605" t="str">
        <f t="shared" si="174"/>
        <v>检验</v>
      </c>
      <c r="G605">
        <v>20</v>
      </c>
      <c r="I605" t="str">
        <f t="shared" si="188"/>
        <v>项</v>
      </c>
      <c r="K605" t="str">
        <f>"SMJZZHJPYJJD"</f>
        <v>SMJZZHJPYJJD</v>
      </c>
      <c r="L605" t="str">
        <f>"IUAFLAFUEJP"</f>
        <v>IUAFLAFUEJP</v>
      </c>
      <c r="M605">
        <v>20</v>
      </c>
      <c r="N605">
        <v>250501025</v>
      </c>
      <c r="O605" t="str">
        <f t="shared" si="189"/>
        <v>项</v>
      </c>
      <c r="P605" t="str">
        <f t="shared" si="167"/>
        <v>检验费</v>
      </c>
    </row>
    <row r="606" spans="1:16">
      <c r="A606" t="str">
        <f>"真菌培养及鉴定"</f>
        <v>真菌培养及鉴定</v>
      </c>
      <c r="B606">
        <v>250501027</v>
      </c>
      <c r="C606" t="str">
        <f t="shared" si="174"/>
        <v>检验</v>
      </c>
      <c r="D606" t="str">
        <f>"002505010270000"</f>
        <v>002505010270000</v>
      </c>
      <c r="G606">
        <v>25</v>
      </c>
      <c r="I606" t="str">
        <f t="shared" si="188"/>
        <v>项</v>
      </c>
      <c r="K606" t="str">
        <f>"ZJPYJJD"</f>
        <v>ZJPYJJD</v>
      </c>
      <c r="L606" t="str">
        <f>"FAFUEJP"</f>
        <v>FAFUEJP</v>
      </c>
      <c r="M606">
        <v>25</v>
      </c>
      <c r="N606">
        <v>250501027</v>
      </c>
      <c r="O606" t="str">
        <f t="shared" si="189"/>
        <v>项</v>
      </c>
      <c r="P606" t="str">
        <f t="shared" si="167"/>
        <v>检验费</v>
      </c>
    </row>
    <row r="607" spans="1:16">
      <c r="A607" t="str">
        <f>"支原体检查"</f>
        <v>支原体检查</v>
      </c>
      <c r="B607">
        <v>250501033</v>
      </c>
      <c r="C607" t="str">
        <f t="shared" si="174"/>
        <v>检验</v>
      </c>
      <c r="D607" t="str">
        <f>"002505010330000"</f>
        <v>002505010330000</v>
      </c>
      <c r="G607">
        <v>70</v>
      </c>
      <c r="I607" t="str">
        <f t="shared" si="188"/>
        <v>项</v>
      </c>
      <c r="K607" t="str">
        <f>"ZYTJC"</f>
        <v>ZYTJC</v>
      </c>
      <c r="L607" t="str">
        <f>"FDWSS"</f>
        <v>FDWSS</v>
      </c>
      <c r="M607">
        <v>70</v>
      </c>
      <c r="N607">
        <v>250501033</v>
      </c>
      <c r="O607" t="str">
        <f t="shared" si="189"/>
        <v>项</v>
      </c>
      <c r="P607" t="str">
        <f t="shared" si="167"/>
        <v>检验费</v>
      </c>
    </row>
    <row r="608" spans="1:16">
      <c r="A608" t="str">
        <f>"支原体培养及药敏"</f>
        <v>支原体培养及药敏</v>
      </c>
      <c r="B608">
        <v>250501034</v>
      </c>
      <c r="C608" t="str">
        <f t="shared" si="174"/>
        <v>检验</v>
      </c>
      <c r="G608">
        <v>70</v>
      </c>
      <c r="I608" t="str">
        <f t="shared" si="188"/>
        <v>项</v>
      </c>
      <c r="K608" t="str">
        <f>"ZYTPYJYM"</f>
        <v>ZYTPYJYM</v>
      </c>
      <c r="L608" t="str">
        <f>"FDWFUEAT"</f>
        <v>FDWFUEAT</v>
      </c>
      <c r="M608">
        <v>70</v>
      </c>
      <c r="N608">
        <v>250501034</v>
      </c>
      <c r="O608" t="str">
        <f t="shared" si="189"/>
        <v>项</v>
      </c>
      <c r="P608" t="str">
        <f t="shared" si="167"/>
        <v>检验费</v>
      </c>
    </row>
    <row r="609" spans="1:16">
      <c r="A609" t="str">
        <f>"轮状病毒检测免疫学法"</f>
        <v>轮状病毒检测免疫学法</v>
      </c>
      <c r="B609">
        <v>250501035</v>
      </c>
      <c r="C609" t="str">
        <f t="shared" si="174"/>
        <v>检验</v>
      </c>
      <c r="D609" t="str">
        <f>"002505010350200"</f>
        <v>002505010350200</v>
      </c>
      <c r="G609">
        <v>15</v>
      </c>
      <c r="I609" t="str">
        <f t="shared" si="188"/>
        <v>项</v>
      </c>
      <c r="K609" t="str">
        <f>"LZBDJCMYXF"</f>
        <v>LZBDJCMYXF</v>
      </c>
      <c r="L609" t="str">
        <f>"LUUGSIQUII"</f>
        <v>LUUGSIQUII</v>
      </c>
      <c r="M609">
        <v>15</v>
      </c>
      <c r="N609">
        <v>250501035</v>
      </c>
      <c r="O609" t="str">
        <f t="shared" si="189"/>
        <v>项</v>
      </c>
      <c r="P609" t="str">
        <f t="shared" ref="P609:P626" si="190">"检验费"</f>
        <v>检验费</v>
      </c>
    </row>
    <row r="610" spans="1:16">
      <c r="A610" t="str">
        <f>"轮状病毒检测（酶联免疫法、金标法）"</f>
        <v>轮状病毒检测（酶联免疫法、金标法）</v>
      </c>
      <c r="B610" t="str">
        <f>"250501035-a"</f>
        <v>250501035-a</v>
      </c>
      <c r="C610" t="str">
        <f t="shared" si="174"/>
        <v>检验</v>
      </c>
      <c r="D610" t="str">
        <f>"002505010350000"</f>
        <v>002505010350000</v>
      </c>
      <c r="G610">
        <v>45</v>
      </c>
      <c r="I610" t="str">
        <f t="shared" si="188"/>
        <v>项</v>
      </c>
      <c r="K610" t="str">
        <f>"LZBDJC（MLMYF、JBF"</f>
        <v>LZBDJC（MLMYF、JBF</v>
      </c>
      <c r="L610" t="str">
        <f>"LUUGSISBQUIQSI"</f>
        <v>LUUGSISBQUIQSI</v>
      </c>
      <c r="M610">
        <v>45</v>
      </c>
      <c r="N610" t="str">
        <f>"250501035-a"</f>
        <v>250501035-a</v>
      </c>
      <c r="O610" t="str">
        <f t="shared" si="189"/>
        <v>项</v>
      </c>
      <c r="P610" t="str">
        <f t="shared" si="190"/>
        <v>检验费</v>
      </c>
    </row>
    <row r="611" spans="1:16">
      <c r="A611" t="str">
        <f>"轮状病毒检测凝集法"</f>
        <v>轮状病毒检测凝集法</v>
      </c>
      <c r="B611" t="str">
        <f>"250501035-b"</f>
        <v>250501035-b</v>
      </c>
      <c r="C611" t="str">
        <f t="shared" si="174"/>
        <v>检验</v>
      </c>
      <c r="D611" t="str">
        <f>"002505010350200"</f>
        <v>002505010350200</v>
      </c>
      <c r="G611">
        <v>7</v>
      </c>
      <c r="I611" t="str">
        <f t="shared" si="188"/>
        <v>项</v>
      </c>
      <c r="K611" t="str">
        <f>"LZBDJCNJF"</f>
        <v>LZBDJCNJF</v>
      </c>
      <c r="L611" t="str">
        <f>"LUUGSIUWI"</f>
        <v>LUUGSIUWI</v>
      </c>
      <c r="M611">
        <v>7</v>
      </c>
      <c r="N611" t="str">
        <f>"250501035-b"</f>
        <v>250501035-b</v>
      </c>
      <c r="O611" t="str">
        <f t="shared" si="189"/>
        <v>项</v>
      </c>
      <c r="P611" t="str">
        <f t="shared" si="190"/>
        <v>检验费</v>
      </c>
    </row>
    <row r="612" spans="1:16">
      <c r="A612" t="str">
        <f>"常规药敏定性试验手工法"</f>
        <v>常规药敏定性试验手工法</v>
      </c>
      <c r="B612">
        <v>250502001</v>
      </c>
      <c r="C612" t="str">
        <f t="shared" si="174"/>
        <v>检验</v>
      </c>
      <c r="D612" t="str">
        <f>"002505020010000"</f>
        <v>002505020010000</v>
      </c>
      <c r="G612">
        <v>20</v>
      </c>
      <c r="I612" t="str">
        <f>"次"</f>
        <v>次</v>
      </c>
      <c r="K612" t="str">
        <f>"CGYMDXSYSGF"</f>
        <v>CGYMDXSYSGF</v>
      </c>
      <c r="L612" t="str">
        <f>"IFATPNYCRAI"</f>
        <v>IFATPNYCRAI</v>
      </c>
      <c r="M612">
        <v>20</v>
      </c>
      <c r="N612">
        <v>250502001</v>
      </c>
      <c r="O612" t="str">
        <f>"次"</f>
        <v>次</v>
      </c>
      <c r="P612" t="str">
        <f t="shared" si="190"/>
        <v>检验费</v>
      </c>
    </row>
    <row r="613" spans="1:16">
      <c r="A613" t="str">
        <f>"细菌毒素测定"</f>
        <v>细菌毒素测定</v>
      </c>
      <c r="B613">
        <v>250503002</v>
      </c>
      <c r="C613" t="str">
        <f t="shared" si="174"/>
        <v>检验</v>
      </c>
      <c r="D613" t="str">
        <f>"002505030020000"</f>
        <v>002505030020000</v>
      </c>
      <c r="G613">
        <v>35</v>
      </c>
      <c r="I613" t="str">
        <f t="shared" ref="I613:I615" si="191">"项"</f>
        <v>项</v>
      </c>
      <c r="K613" t="str">
        <f>"XJDSCD"</f>
        <v>XJDSCD</v>
      </c>
      <c r="L613" t="str">
        <f>"XAGGIP"</f>
        <v>XAGGIP</v>
      </c>
      <c r="M613">
        <v>35</v>
      </c>
      <c r="N613">
        <v>250503002</v>
      </c>
      <c r="O613" t="str">
        <f t="shared" ref="O613:O615" si="192">"项"</f>
        <v>项</v>
      </c>
      <c r="P613" t="str">
        <f t="shared" si="190"/>
        <v>检验费</v>
      </c>
    </row>
    <row r="614" spans="1:16">
      <c r="A614" t="str">
        <f>"病原体乳胶凝集试验快速检测"</f>
        <v>病原体乳胶凝集试验快速检测</v>
      </c>
      <c r="B614">
        <v>250503003</v>
      </c>
      <c r="C614" t="str">
        <f t="shared" si="174"/>
        <v>检验</v>
      </c>
      <c r="D614" t="str">
        <f>"002505030030000"</f>
        <v>002505030030000</v>
      </c>
      <c r="G614">
        <v>60</v>
      </c>
      <c r="I614" t="str">
        <f t="shared" si="191"/>
        <v>项</v>
      </c>
      <c r="K614" t="str">
        <f>"BYTRJNJSYKSJC"</f>
        <v>BYTRJNJSYKSJC</v>
      </c>
      <c r="L614" t="str">
        <f>"UDWEEUWYCNGSI"</f>
        <v>UDWEEUWYCNGSI</v>
      </c>
      <c r="M614">
        <v>60</v>
      </c>
      <c r="N614">
        <v>250503003</v>
      </c>
      <c r="O614" t="str">
        <f t="shared" si="192"/>
        <v>项</v>
      </c>
      <c r="P614" t="str">
        <f t="shared" si="190"/>
        <v>检验费</v>
      </c>
    </row>
    <row r="615" spans="1:16">
      <c r="A615" t="str">
        <f>"细菌分型"</f>
        <v>细菌分型</v>
      </c>
      <c r="B615">
        <v>250503004</v>
      </c>
      <c r="C615" t="str">
        <f t="shared" si="174"/>
        <v>检验</v>
      </c>
      <c r="G615">
        <v>15</v>
      </c>
      <c r="I615" t="str">
        <f t="shared" si="191"/>
        <v>项</v>
      </c>
      <c r="K615" t="str">
        <f>"XJFX"</f>
        <v>XJFX</v>
      </c>
      <c r="L615" t="str">
        <f>"XAWG"</f>
        <v>XAWG</v>
      </c>
      <c r="M615">
        <v>15</v>
      </c>
      <c r="N615">
        <v>250503004</v>
      </c>
      <c r="O615" t="str">
        <f t="shared" si="192"/>
        <v>项</v>
      </c>
      <c r="P615" t="str">
        <f t="shared" si="190"/>
        <v>检验费</v>
      </c>
    </row>
    <row r="616" spans="1:16">
      <c r="A616" t="str">
        <f>"粪寄生虫镜检"</f>
        <v>粪寄生虫镜检</v>
      </c>
      <c r="B616">
        <v>250601001</v>
      </c>
      <c r="C616" t="str">
        <f t="shared" si="174"/>
        <v>检验</v>
      </c>
      <c r="D616" t="str">
        <f>"002506010010000"</f>
        <v>002506010010000</v>
      </c>
      <c r="G616">
        <v>2</v>
      </c>
      <c r="I616" t="str">
        <f>"-"</f>
        <v>-</v>
      </c>
      <c r="K616" t="str">
        <f>"FJSCJJ"</f>
        <v>FJSCJJ</v>
      </c>
      <c r="L616" t="str">
        <f>"OPTJQS"</f>
        <v>OPTJQS</v>
      </c>
      <c r="M616">
        <v>2</v>
      </c>
      <c r="N616">
        <v>250601001</v>
      </c>
      <c r="O616" t="str">
        <f>"次"</f>
        <v>次</v>
      </c>
      <c r="P616" t="str">
        <f t="shared" si="190"/>
        <v>检验费</v>
      </c>
    </row>
    <row r="617" spans="1:16">
      <c r="A617" t="str">
        <f>"血液疟原虫检查"</f>
        <v>血液疟原虫检查</v>
      </c>
      <c r="B617">
        <v>250601005</v>
      </c>
      <c r="C617" t="str">
        <f t="shared" si="174"/>
        <v>检验</v>
      </c>
      <c r="D617" t="str">
        <f>"002506010050000"</f>
        <v>002506010050000</v>
      </c>
      <c r="G617" t="str">
        <f>"0"</f>
        <v>0</v>
      </c>
      <c r="I617" t="str">
        <f t="shared" ref="I617:I619" si="193">"项"</f>
        <v>项</v>
      </c>
      <c r="K617" t="str">
        <f>"XYNYCJC"</f>
        <v>XYNYCJC</v>
      </c>
      <c r="L617" t="str">
        <f>"TIUDJSS"</f>
        <v>TIUDJSS</v>
      </c>
      <c r="M617" t="str">
        <f>"0"</f>
        <v>0</v>
      </c>
      <c r="N617">
        <v>250601005</v>
      </c>
      <c r="O617" t="str">
        <f t="shared" ref="O617:O619" si="194">"项"</f>
        <v>项</v>
      </c>
      <c r="P617" t="str">
        <f t="shared" si="190"/>
        <v>检验费</v>
      </c>
    </row>
    <row r="618" spans="1:16">
      <c r="A618" t="str">
        <f>"血液微丝蚴检查"</f>
        <v>血液微丝蚴检查</v>
      </c>
      <c r="B618">
        <v>250601006</v>
      </c>
      <c r="C618" t="str">
        <f t="shared" si="174"/>
        <v>检验</v>
      </c>
      <c r="D618" t="str">
        <f>"002506010060000"</f>
        <v>002506010060000</v>
      </c>
      <c r="G618">
        <v>1</v>
      </c>
      <c r="I618" t="str">
        <f t="shared" si="193"/>
        <v>项</v>
      </c>
      <c r="K618" t="str">
        <f>"XYWSYJC"</f>
        <v>XYWSYJC</v>
      </c>
      <c r="L618" t="str">
        <f>"TITXJSS"</f>
        <v>TITXJSS</v>
      </c>
      <c r="M618">
        <v>1</v>
      </c>
      <c r="N618">
        <v>250601006</v>
      </c>
      <c r="O618" t="str">
        <f t="shared" si="194"/>
        <v>项</v>
      </c>
      <c r="P618" t="str">
        <f t="shared" si="190"/>
        <v>检验费</v>
      </c>
    </row>
    <row r="619" spans="1:16">
      <c r="A619" t="str">
        <f>"唐氏综合症筛查"</f>
        <v>唐氏综合症筛查</v>
      </c>
      <c r="B619">
        <v>250700010</v>
      </c>
      <c r="C619" t="str">
        <f t="shared" si="174"/>
        <v>检验</v>
      </c>
      <c r="D619" t="str">
        <f>"002507000100000"</f>
        <v>002507000100000</v>
      </c>
      <c r="G619" t="str">
        <f>"0"</f>
        <v>0</v>
      </c>
      <c r="I619" t="str">
        <f t="shared" si="193"/>
        <v>项</v>
      </c>
      <c r="K619" t="str">
        <f>"TSZHZSC"</f>
        <v>TSZHZSC</v>
      </c>
      <c r="L619" t="str">
        <f>"YQXWUTS"</f>
        <v>YQXWUTS</v>
      </c>
      <c r="M619">
        <v>15</v>
      </c>
      <c r="N619">
        <v>250700010</v>
      </c>
      <c r="O619" t="str">
        <f t="shared" si="194"/>
        <v>项</v>
      </c>
      <c r="P619" t="str">
        <f t="shared" si="190"/>
        <v>检验费</v>
      </c>
    </row>
    <row r="620" spans="1:16">
      <c r="A620" t="str">
        <f>"唐氏综合症筛查及唐氏综合症风险率计算"</f>
        <v>唐氏综合症筛查及唐氏综合症风险率计算</v>
      </c>
      <c r="B620" t="str">
        <f>"250700010-a"</f>
        <v>250700010-a</v>
      </c>
      <c r="C620" t="str">
        <f t="shared" si="174"/>
        <v>检验</v>
      </c>
      <c r="D620" t="str">
        <f>"002507000100000"</f>
        <v>002507000100000</v>
      </c>
      <c r="G620">
        <v>110</v>
      </c>
      <c r="I620" t="str">
        <f t="shared" ref="I620:I626" si="195">"次"</f>
        <v>次</v>
      </c>
      <c r="K620" t="str">
        <f>"TSZHZSCJTSZHZFXLJS"</f>
        <v>TSZHZSCJTSZHZFXLJS</v>
      </c>
      <c r="L620" t="str">
        <f>"YQXWUTSEYQXWUMBYYT"</f>
        <v>YQXWUTSEYQXWUMBYYT</v>
      </c>
      <c r="M620">
        <v>110</v>
      </c>
      <c r="N620" t="str">
        <f>"250700010-a"</f>
        <v>250700010-a</v>
      </c>
      <c r="O620" t="str">
        <f t="shared" ref="O620:O626" si="196">"次"</f>
        <v>次</v>
      </c>
      <c r="P620" t="str">
        <f t="shared" si="190"/>
        <v>检验费</v>
      </c>
    </row>
    <row r="621" spans="1:16">
      <c r="A621" t="str">
        <f>"苯丙氨酸测定（PKU）"</f>
        <v>苯丙氨酸测定（PKU）</v>
      </c>
      <c r="B621">
        <v>250700015</v>
      </c>
      <c r="C621" t="str">
        <f t="shared" si="174"/>
        <v>检验</v>
      </c>
      <c r="D621" t="str">
        <f>"002507000150000"</f>
        <v>002507000150000</v>
      </c>
      <c r="G621">
        <v>30</v>
      </c>
      <c r="I621" t="str">
        <f>"项"</f>
        <v>项</v>
      </c>
      <c r="K621" t="str">
        <f>"BBASCDZPKUZ"</f>
        <v>BBASCDZPKUZ</v>
      </c>
      <c r="L621" t="str">
        <f>"AGRSIPpku"</f>
        <v>AGRSIPpku</v>
      </c>
      <c r="M621">
        <v>30</v>
      </c>
      <c r="N621">
        <v>250700015</v>
      </c>
      <c r="O621" t="str">
        <f>"项"</f>
        <v>项</v>
      </c>
      <c r="P621" t="str">
        <f t="shared" si="190"/>
        <v>检验费</v>
      </c>
    </row>
    <row r="622" spans="1:16">
      <c r="A622" t="str">
        <f>"ABO红细胞血清定型(反定)"</f>
        <v>ABO红细胞血清定型(反定)</v>
      </c>
      <c r="B622">
        <v>260000001</v>
      </c>
      <c r="C622" t="str">
        <f t="shared" si="174"/>
        <v>检验</v>
      </c>
      <c r="D622" t="str">
        <f>"002600000010000"</f>
        <v>002600000010000</v>
      </c>
      <c r="G622">
        <v>3</v>
      </c>
      <c r="I622" t="str">
        <f t="shared" si="195"/>
        <v>次</v>
      </c>
      <c r="K622" t="str">
        <f>"ABOHXBXQDX(FD)"</f>
        <v>ABOHXBXQDX(FD)</v>
      </c>
      <c r="L622" t="str">
        <f>"ABOXXETIPGRP"</f>
        <v>ABOXXETIPGRP</v>
      </c>
      <c r="M622">
        <v>3</v>
      </c>
      <c r="N622">
        <v>260000001</v>
      </c>
      <c r="O622" t="str">
        <f t="shared" si="196"/>
        <v>次</v>
      </c>
      <c r="P622" t="str">
        <f t="shared" si="190"/>
        <v>检验费</v>
      </c>
    </row>
    <row r="623" spans="1:16">
      <c r="A623" t="str">
        <f>"ABO红细胞定型"</f>
        <v>ABO红细胞定型</v>
      </c>
      <c r="B623" t="str">
        <f>"260000001-a"</f>
        <v>260000001-a</v>
      </c>
      <c r="C623" t="str">
        <f t="shared" si="174"/>
        <v>检验</v>
      </c>
      <c r="G623">
        <v>5</v>
      </c>
      <c r="I623" t="str">
        <f t="shared" si="195"/>
        <v>次</v>
      </c>
      <c r="K623" t="str">
        <f>"ABOHXBDX"</f>
        <v>ABOHXBDX</v>
      </c>
      <c r="L623" t="str">
        <f>"ABOXXEPG"</f>
        <v>ABOXXEPG</v>
      </c>
      <c r="M623">
        <v>5</v>
      </c>
      <c r="N623" t="str">
        <f>"260000001-a"</f>
        <v>260000001-a</v>
      </c>
      <c r="O623" t="str">
        <f t="shared" si="196"/>
        <v>次</v>
      </c>
      <c r="P623" t="str">
        <f t="shared" si="190"/>
        <v>检验费</v>
      </c>
    </row>
    <row r="624" spans="1:16">
      <c r="A624" t="str">
        <f>"Rh血型鉴定"</f>
        <v>Rh血型鉴定</v>
      </c>
      <c r="B624">
        <v>260000004</v>
      </c>
      <c r="C624" t="str">
        <f t="shared" si="174"/>
        <v>检验</v>
      </c>
      <c r="D624" t="str">
        <f>"002600000040000"</f>
        <v>002600000040000</v>
      </c>
      <c r="G624">
        <v>10</v>
      </c>
      <c r="I624" t="str">
        <f t="shared" si="195"/>
        <v>次</v>
      </c>
      <c r="K624" t="str">
        <f>"RHXXJD"</f>
        <v>RHXXJD</v>
      </c>
      <c r="L624" t="str">
        <f>"rhTGJP"</f>
        <v>rhTGJP</v>
      </c>
      <c r="M624">
        <v>10</v>
      </c>
      <c r="N624">
        <v>260000004</v>
      </c>
      <c r="O624" t="str">
        <f t="shared" si="196"/>
        <v>次</v>
      </c>
      <c r="P624" t="str">
        <f t="shared" si="190"/>
        <v>检验费</v>
      </c>
    </row>
    <row r="625" spans="1:16">
      <c r="A625" t="str">
        <f>"血型抗体效价测定"</f>
        <v>血型抗体效价测定</v>
      </c>
      <c r="B625">
        <v>260000010</v>
      </c>
      <c r="C625" t="str">
        <f t="shared" si="174"/>
        <v>检验</v>
      </c>
      <c r="D625" t="str">
        <f>"002600000100000"</f>
        <v>002600000100000</v>
      </c>
      <c r="G625">
        <v>50</v>
      </c>
      <c r="I625" t="str">
        <f t="shared" si="195"/>
        <v>次</v>
      </c>
      <c r="K625" t="str">
        <f>"XXKTXJCD"</f>
        <v>XXKTXJCD</v>
      </c>
      <c r="L625" t="str">
        <f>"TGRWUWIP"</f>
        <v>TGRWUWIP</v>
      </c>
      <c r="M625">
        <v>50</v>
      </c>
      <c r="N625">
        <v>260000010</v>
      </c>
      <c r="O625" t="str">
        <f t="shared" si="196"/>
        <v>次</v>
      </c>
      <c r="P625" t="str">
        <f t="shared" si="190"/>
        <v>检验费</v>
      </c>
    </row>
    <row r="626" spans="1:16">
      <c r="A626" t="str">
        <f>"淋巴细胞毒试验"</f>
        <v>淋巴细胞毒试验</v>
      </c>
      <c r="B626">
        <v>260000020</v>
      </c>
      <c r="C626" t="str">
        <f t="shared" si="174"/>
        <v>检验</v>
      </c>
      <c r="D626" t="str">
        <f>"002600000200000"</f>
        <v>002600000200000</v>
      </c>
      <c r="G626">
        <v>30</v>
      </c>
      <c r="I626" t="str">
        <f t="shared" si="195"/>
        <v>次</v>
      </c>
      <c r="K626" t="str">
        <f>"LBXBDSY"</f>
        <v>LBXBDSY</v>
      </c>
      <c r="L626" t="str">
        <f>"ICXEGYC"</f>
        <v>ICXEGYC</v>
      </c>
      <c r="M626">
        <v>30</v>
      </c>
      <c r="N626">
        <v>260000020</v>
      </c>
      <c r="O626" t="str">
        <f t="shared" si="196"/>
        <v>次</v>
      </c>
      <c r="P626" t="str">
        <f t="shared" si="190"/>
        <v>检验费</v>
      </c>
    </row>
    <row r="627" spans="1:16">
      <c r="A627" t="str">
        <f>"脱落细胞学检查与诊断"</f>
        <v>脱落细胞学检查与诊断</v>
      </c>
      <c r="B627">
        <v>270200004</v>
      </c>
      <c r="C627" t="str">
        <f t="shared" ref="C627:C634" si="197">"其他"</f>
        <v>其他</v>
      </c>
      <c r="D627" t="str">
        <f>"002702000040000"</f>
        <v>002702000040000</v>
      </c>
      <c r="G627">
        <v>39</v>
      </c>
      <c r="I627" t="str">
        <f t="shared" ref="I627:I632" si="198">"例"</f>
        <v>例</v>
      </c>
      <c r="K627" t="str">
        <f>"TLXBXJCYZD"</f>
        <v>TLXBXJCYZD</v>
      </c>
      <c r="L627" t="str">
        <f>"EAXEISSGYO"</f>
        <v>EAXEISSGYO</v>
      </c>
      <c r="M627">
        <v>105</v>
      </c>
      <c r="N627">
        <v>270200004</v>
      </c>
      <c r="O627" t="str">
        <f t="shared" ref="O627:O629" si="199">"例"</f>
        <v>例</v>
      </c>
      <c r="P627" t="str">
        <f t="shared" ref="P627:P634" si="200">"病理检查"</f>
        <v>病理检查</v>
      </c>
    </row>
    <row r="628" spans="1:16">
      <c r="A628" t="str">
        <f>"脱落细胞学检查与诊断(痰)"</f>
        <v>脱落细胞学检查与诊断(痰)</v>
      </c>
      <c r="B628" t="str">
        <f>"270200004-5"</f>
        <v>270200004-5</v>
      </c>
      <c r="C628" t="str">
        <f t="shared" si="197"/>
        <v>其他</v>
      </c>
      <c r="D628" t="str">
        <f>"002702000040000"</f>
        <v>002702000040000</v>
      </c>
      <c r="G628">
        <v>39</v>
      </c>
      <c r="I628">
        <v>1</v>
      </c>
      <c r="M628">
        <v>105</v>
      </c>
      <c r="N628">
        <v>270200004</v>
      </c>
      <c r="O628" t="str">
        <f t="shared" si="199"/>
        <v>例</v>
      </c>
      <c r="P628" t="str">
        <f t="shared" si="200"/>
        <v>病理检查</v>
      </c>
    </row>
    <row r="629" spans="1:16">
      <c r="A629" t="str">
        <f>"内镜组织活检检查与诊断"</f>
        <v>内镜组织活检检查与诊断</v>
      </c>
      <c r="B629">
        <v>270300002</v>
      </c>
      <c r="C629" t="str">
        <f t="shared" si="197"/>
        <v>其他</v>
      </c>
      <c r="D629" t="str">
        <f>"002703000020000"</f>
        <v>002703000020000</v>
      </c>
      <c r="G629">
        <v>122</v>
      </c>
      <c r="I629" t="str">
        <f t="shared" si="198"/>
        <v>例</v>
      </c>
      <c r="K629" t="str">
        <f>"NJZZHJJCYZD"</f>
        <v>NJZZHJJCYZD</v>
      </c>
      <c r="L629" t="str">
        <f>"MQXXISSSGYO"</f>
        <v>MQXXISSSGYO</v>
      </c>
      <c r="M629">
        <v>122</v>
      </c>
      <c r="N629">
        <v>270300002</v>
      </c>
      <c r="O629" t="str">
        <f t="shared" si="199"/>
        <v>例</v>
      </c>
      <c r="P629" t="str">
        <f t="shared" si="200"/>
        <v>病理检查</v>
      </c>
    </row>
    <row r="630" spans="1:16">
      <c r="A630" t="str">
        <f>"内镜组织活检检查与诊断每增加一张切片加收"</f>
        <v>内镜组织活检检查与诊断每增加一张切片加收</v>
      </c>
      <c r="B630" t="str">
        <f>"270300002-b"</f>
        <v>270300002-b</v>
      </c>
      <c r="C630" t="str">
        <f t="shared" si="197"/>
        <v>其他</v>
      </c>
      <c r="D630" t="str">
        <f>"002703000020000"</f>
        <v>002703000020000</v>
      </c>
      <c r="G630">
        <v>30</v>
      </c>
      <c r="I630" t="str">
        <f>"张"</f>
        <v>张</v>
      </c>
      <c r="K630" t="str">
        <f>"NJZZHJJCYZDMZJYZQPJS"</f>
        <v>NJZZHJJCYZDMZJYZQPJS</v>
      </c>
      <c r="L630" t="str">
        <f>"MQXXISSSGYOTFLGXATLN"</f>
        <v>MQXXISSSGYOTFLGXATLN</v>
      </c>
      <c r="M630">
        <v>30</v>
      </c>
      <c r="N630" t="str">
        <f>"270300002-b"</f>
        <v>270300002-b</v>
      </c>
      <c r="O630" t="str">
        <f>"张"</f>
        <v>张</v>
      </c>
      <c r="P630" t="str">
        <f t="shared" si="200"/>
        <v>病理检查</v>
      </c>
    </row>
    <row r="631" spans="1:16">
      <c r="A631" t="str">
        <f>"局部切除组织活检检查与诊断"</f>
        <v>局部切除组织活检检查与诊断</v>
      </c>
      <c r="B631">
        <v>270300003</v>
      </c>
      <c r="C631" t="str">
        <f t="shared" si="197"/>
        <v>其他</v>
      </c>
      <c r="D631" t="str">
        <f>"002703000030000"</f>
        <v>002703000030000</v>
      </c>
      <c r="G631">
        <v>159</v>
      </c>
      <c r="I631" t="str">
        <f>"每个部位"</f>
        <v>每个部位</v>
      </c>
      <c r="K631" t="str">
        <f>"JBQCZZHJJCYZD"</f>
        <v>JBQCZZHJJCYZD</v>
      </c>
      <c r="L631" t="str">
        <f>"NUABXXISSSGYO"</f>
        <v>NUABXXISSSGYO</v>
      </c>
      <c r="M631">
        <v>159</v>
      </c>
      <c r="N631">
        <v>270300003</v>
      </c>
      <c r="O631" t="str">
        <f>"每个部位"</f>
        <v>每个部位</v>
      </c>
      <c r="P631" t="str">
        <f t="shared" si="200"/>
        <v>病理检查</v>
      </c>
    </row>
    <row r="632" spans="1:16">
      <c r="A632" t="str">
        <f>"手术标本检查与诊断"</f>
        <v>手术标本检查与诊断</v>
      </c>
      <c r="B632">
        <v>270300005</v>
      </c>
      <c r="C632" t="str">
        <f t="shared" si="197"/>
        <v>其他</v>
      </c>
      <c r="D632" t="str">
        <f>"002703000050000"</f>
        <v>002703000050000</v>
      </c>
      <c r="G632">
        <v>160</v>
      </c>
      <c r="I632" t="str">
        <f t="shared" si="198"/>
        <v>例</v>
      </c>
      <c r="K632" t="str">
        <f>"SSBBJCYZD"</f>
        <v>SSBBJCYZD</v>
      </c>
      <c r="L632" t="str">
        <f>"RSSSSSGYO"</f>
        <v>RSSSSSGYO</v>
      </c>
      <c r="M632">
        <v>160</v>
      </c>
      <c r="N632">
        <v>270300005</v>
      </c>
      <c r="O632" t="str">
        <f>"例"</f>
        <v>例</v>
      </c>
      <c r="P632" t="str">
        <f t="shared" si="200"/>
        <v>病理检查</v>
      </c>
    </row>
    <row r="633" spans="1:16">
      <c r="A633" t="str">
        <f>"手术标本检查与诊断超过基价每个加收"</f>
        <v>手术标本检查与诊断超过基价每个加收</v>
      </c>
      <c r="B633" t="str">
        <f>"270300005-a"</f>
        <v>270300005-a</v>
      </c>
      <c r="C633" t="str">
        <f t="shared" si="197"/>
        <v>其他</v>
      </c>
      <c r="D633" t="str">
        <f>"002703000050000"</f>
        <v>002703000050000</v>
      </c>
      <c r="G633">
        <v>10</v>
      </c>
      <c r="I633" t="str">
        <f>"个"</f>
        <v>个</v>
      </c>
      <c r="K633" t="str">
        <f>"SSBBJCYZDCGJJMGJS"</f>
        <v>SSBBJCYZDCGJJMGJS</v>
      </c>
      <c r="L633" t="str">
        <f>"RSSSSSGYOFFAWTWLN"</f>
        <v>RSSSSSGYOFFAWTWLN</v>
      </c>
      <c r="M633">
        <v>10</v>
      </c>
      <c r="N633" t="str">
        <f>"270300005-a"</f>
        <v>270300005-a</v>
      </c>
      <c r="O633" t="str">
        <f>"个"</f>
        <v>个</v>
      </c>
      <c r="P633" t="str">
        <f t="shared" si="200"/>
        <v>病理检查</v>
      </c>
    </row>
    <row r="634" spans="1:16">
      <c r="A634" t="str">
        <f>"特殊染色及酶组织化学染色诊断"</f>
        <v>特殊染色及酶组织化学染色诊断</v>
      </c>
      <c r="B634">
        <v>270500001</v>
      </c>
      <c r="C634" t="str">
        <f t="shared" si="197"/>
        <v>其他</v>
      </c>
      <c r="D634" t="str">
        <f>"002705000010000"</f>
        <v>002705000010000</v>
      </c>
      <c r="G634">
        <v>80</v>
      </c>
      <c r="I634" t="str">
        <f t="shared" ref="I634:I637" si="201">"次"</f>
        <v>次</v>
      </c>
      <c r="K634" t="str">
        <f>"TSRSJMZZHXRSZD"</f>
        <v>TSRSJMZZHXRSZD</v>
      </c>
      <c r="L634" t="str">
        <f>"TGIQESXXWIIQYO"</f>
        <v>TGIQESXXWIIQYO</v>
      </c>
      <c r="M634">
        <v>80</v>
      </c>
      <c r="N634">
        <v>270500001</v>
      </c>
      <c r="O634" t="str">
        <f t="shared" ref="O634:O638" si="202">"次"</f>
        <v>次</v>
      </c>
      <c r="P634" t="str">
        <f t="shared" si="200"/>
        <v>病理检查</v>
      </c>
    </row>
    <row r="635" spans="1:16">
      <c r="A635" t="str">
        <f>"脱氧核糖核酸(DNA)测序"</f>
        <v>脱氧核糖核酸(DNA)测序</v>
      </c>
      <c r="B635" t="str">
        <f>"270700003-1"</f>
        <v>270700003-1</v>
      </c>
      <c r="C635" t="str">
        <f t="shared" ref="C635:C638" si="203">"检验"</f>
        <v>检验</v>
      </c>
      <c r="D635" t="str">
        <f>"002707000030000"</f>
        <v>002707000030000</v>
      </c>
      <c r="G635">
        <v>400</v>
      </c>
      <c r="I635" t="str">
        <f>"项"</f>
        <v>项</v>
      </c>
      <c r="K635" t="str">
        <f>"TYHTHSDNACX"</f>
        <v>TYHTHSDNACX</v>
      </c>
      <c r="L635" t="str">
        <f>"ERSOSSDNAIY"</f>
        <v>ERSOSSDNAIY</v>
      </c>
      <c r="M635">
        <v>400</v>
      </c>
      <c r="N635" t="str">
        <f>"270700003-1"</f>
        <v>270700003-1</v>
      </c>
      <c r="O635" t="str">
        <f>"项"</f>
        <v>项</v>
      </c>
      <c r="P635" t="str">
        <f>"检验费"</f>
        <v>检验费</v>
      </c>
    </row>
    <row r="636" spans="1:16">
      <c r="A636" t="str">
        <f>"荧光定量脱氧核糖核酸多聚酶链反应伴随诊断加收"</f>
        <v>荧光定量脱氧核糖核酸多聚酶链反应伴随诊断加收</v>
      </c>
      <c r="B636" t="str">
        <f>"270700006-a"</f>
        <v>270700006-a</v>
      </c>
      <c r="C636" t="str">
        <f t="shared" si="203"/>
        <v>检验</v>
      </c>
      <c r="D636" t="str">
        <f>"002707000020000"</f>
        <v>002707000020000</v>
      </c>
      <c r="G636">
        <v>200</v>
      </c>
      <c r="I636" t="str">
        <f t="shared" si="201"/>
        <v>次</v>
      </c>
      <c r="K636" t="str">
        <f>"YGDLTYHTHSDJMLFY"</f>
        <v>YGDLTYHTHSDJMLFY</v>
      </c>
      <c r="L636" t="str">
        <f>"AIPJERSOSSQBSQRY"</f>
        <v>AIPJERSOSSQBSQRY</v>
      </c>
      <c r="M636">
        <v>200</v>
      </c>
      <c r="N636" t="str">
        <f>"270700006-a"</f>
        <v>270700006-a</v>
      </c>
      <c r="O636" t="str">
        <f t="shared" si="202"/>
        <v>次</v>
      </c>
      <c r="P636" t="str">
        <f>"检验费"</f>
        <v>检验费</v>
      </c>
    </row>
    <row r="637" spans="1:16">
      <c r="A637" t="str">
        <f>"病理图文报告"</f>
        <v>病理图文报告</v>
      </c>
      <c r="B637">
        <v>270800004</v>
      </c>
      <c r="C637" t="str">
        <f>"其他"</f>
        <v>其他</v>
      </c>
      <c r="D637" t="str">
        <f>"322708000110000"</f>
        <v>322708000110000</v>
      </c>
      <c r="G637">
        <v>30</v>
      </c>
      <c r="I637" t="str">
        <f t="shared" si="201"/>
        <v>次</v>
      </c>
      <c r="K637" t="str">
        <f>"BLTWBG"</f>
        <v>BLTWBG</v>
      </c>
      <c r="L637" t="str">
        <f>"UGLYRT"</f>
        <v>UGLYRT</v>
      </c>
      <c r="M637">
        <v>30</v>
      </c>
      <c r="N637">
        <v>270800004</v>
      </c>
      <c r="O637" t="str">
        <f t="shared" si="202"/>
        <v>次</v>
      </c>
      <c r="P637" t="str">
        <f>"病理检查"</f>
        <v>病理检查</v>
      </c>
    </row>
    <row r="638" spans="1:16">
      <c r="A638" t="str">
        <f>"液基薄层细胞制片术(TCT)"</f>
        <v>液基薄层细胞制片术(TCT)</v>
      </c>
      <c r="B638" t="str">
        <f>"270800007-a"</f>
        <v>270800007-a</v>
      </c>
      <c r="C638" t="str">
        <f t="shared" si="203"/>
        <v>检验</v>
      </c>
      <c r="D638" t="str">
        <f>"002708000040000"</f>
        <v>002708000040000</v>
      </c>
      <c r="G638">
        <v>155</v>
      </c>
      <c r="I638" t="str">
        <f>"-"</f>
        <v>-</v>
      </c>
      <c r="K638" t="str">
        <f>"YJBCXBZPSTCT"</f>
        <v>YJBCXBZPSTCT</v>
      </c>
      <c r="L638" t="str">
        <f>"IAANXERTSTCT"</f>
        <v>IAANXERTSTCT</v>
      </c>
      <c r="M638">
        <v>155</v>
      </c>
      <c r="N638" t="str">
        <f>"270800007-a"</f>
        <v>270800007-a</v>
      </c>
      <c r="O638" t="str">
        <f t="shared" si="202"/>
        <v>次</v>
      </c>
      <c r="P638" t="str">
        <f>"病理检查"</f>
        <v>病理检查</v>
      </c>
    </row>
    <row r="639" spans="1:16">
      <c r="A639" t="str">
        <f>"一次性内窥镜用注射针"</f>
        <v>一次性内窥镜用注射针</v>
      </c>
      <c r="B639" t="str">
        <f>"31-1-2"</f>
        <v>31-1-2</v>
      </c>
      <c r="C639" t="str">
        <f t="shared" ref="C639:C641" si="204">"材料"</f>
        <v>材料</v>
      </c>
      <c r="G639">
        <v>252</v>
      </c>
      <c r="I639" t="str">
        <f>"IN02-25423180-J，IN02..."</f>
        <v>IN02-25423180-J，IN02...</v>
      </c>
      <c r="K639" t="str">
        <f>"YCXNKJYZSZ"</f>
        <v>YCXNKJYZSZ</v>
      </c>
      <c r="L639" t="str">
        <f>"GUNMPQEITQ"</f>
        <v>GUNMPQEITQ</v>
      </c>
      <c r="M639">
        <v>310</v>
      </c>
      <c r="O639" t="str">
        <f>"包"</f>
        <v>包</v>
      </c>
      <c r="P639" t="str">
        <f t="shared" ref="P639:P641" si="205">"材料费"</f>
        <v>材料费</v>
      </c>
    </row>
    <row r="640" spans="1:16">
      <c r="A640" t="str">
        <f>"宫颈扩张棒"</f>
        <v>宫颈扩张棒</v>
      </c>
      <c r="B640" t="str">
        <f>"31-4-3"</f>
        <v>31-4-3</v>
      </c>
      <c r="C640" t="str">
        <f t="shared" si="204"/>
        <v>材料</v>
      </c>
      <c r="G640">
        <v>112</v>
      </c>
      <c r="I640" t="str">
        <f>"3.0、3.5、4.0、4.5"</f>
        <v>3.0、3.5、4.0、4.5</v>
      </c>
      <c r="K640" t="str">
        <f>"GJKZB"</f>
        <v>GJKZB</v>
      </c>
      <c r="L640" t="str">
        <f>"PCRXS"</f>
        <v>PCRXS</v>
      </c>
      <c r="M640">
        <v>112</v>
      </c>
      <c r="O640" t="str">
        <f>"个"</f>
        <v>个</v>
      </c>
      <c r="P640" t="str">
        <f t="shared" si="205"/>
        <v>材料费</v>
      </c>
    </row>
    <row r="641" spans="1:16">
      <c r="A641" t="str">
        <f>"可旋转重复开闭软组织夹"</f>
        <v>可旋转重复开闭软组织夹</v>
      </c>
      <c r="B641" t="str">
        <f>"31-9"</f>
        <v>31-9</v>
      </c>
      <c r="C641" t="str">
        <f t="shared" si="204"/>
        <v>材料</v>
      </c>
      <c r="G641">
        <v>207</v>
      </c>
      <c r="I641" t="str">
        <f>"ROCC-C-26-195-C， RO..."</f>
        <v>ROCC-C-26-195-C， RO...</v>
      </c>
      <c r="K641" t="str">
        <f>"KXZZFKBRZZJ"</f>
        <v>KXZZFKBRZZJ</v>
      </c>
      <c r="L641" t="str">
        <f>"SYLTTGULXXG"</f>
        <v>SYLTTGULXXG</v>
      </c>
      <c r="M641">
        <v>340</v>
      </c>
      <c r="O641" t="str">
        <f>"个"</f>
        <v>个</v>
      </c>
      <c r="P641" t="str">
        <f t="shared" si="205"/>
        <v>材料费</v>
      </c>
    </row>
    <row r="642" spans="1:16">
      <c r="A642" t="str">
        <f>"氩气刀治疗加收"</f>
        <v>氩气刀治疗加收</v>
      </c>
      <c r="B642" t="str">
        <f>"31-a"</f>
        <v>31-a</v>
      </c>
      <c r="C642" t="str">
        <f>"治疗"</f>
        <v>治疗</v>
      </c>
      <c r="G642">
        <v>100</v>
      </c>
      <c r="I642" t="str">
        <f t="shared" ref="I642:I647" si="206">"次"</f>
        <v>次</v>
      </c>
      <c r="K642" t="str">
        <f>"QDZLJS"</f>
        <v>QDZLJS</v>
      </c>
      <c r="L642" t="str">
        <f>"RRVIULN"</f>
        <v>RRVIULN</v>
      </c>
      <c r="M642">
        <v>100</v>
      </c>
      <c r="N642" t="str">
        <f>"31-a"</f>
        <v>31-a</v>
      </c>
      <c r="O642" t="str">
        <f t="shared" ref="O642:O647" si="207">"次"</f>
        <v>次</v>
      </c>
      <c r="P642" t="str">
        <f>"治疗费"</f>
        <v>治疗费</v>
      </c>
    </row>
    <row r="643" spans="1:16">
      <c r="A643" t="str">
        <f>"馒头餐糖耐量试验"</f>
        <v>馒头餐糖耐量试验</v>
      </c>
      <c r="B643">
        <v>310205002</v>
      </c>
      <c r="C643" t="str">
        <f>"其他"</f>
        <v>其他</v>
      </c>
      <c r="D643" t="str">
        <f>"003102050020000"</f>
        <v>003102050020000</v>
      </c>
      <c r="G643">
        <v>20</v>
      </c>
      <c r="I643" t="str">
        <f t="shared" si="206"/>
        <v>次</v>
      </c>
      <c r="K643" t="str">
        <f>"MTCTNLSY"</f>
        <v>MTCTNLSY</v>
      </c>
      <c r="L643" t="str">
        <f>"QUHODJYC"</f>
        <v>QUHODJYC</v>
      </c>
      <c r="M643">
        <v>20</v>
      </c>
      <c r="N643">
        <v>310205002</v>
      </c>
      <c r="O643" t="str">
        <f t="shared" si="207"/>
        <v>次</v>
      </c>
      <c r="P643" t="str">
        <f>"治疗费"</f>
        <v>治疗费</v>
      </c>
    </row>
    <row r="644" spans="1:16">
      <c r="A644" t="str">
        <f>"血糖试纸"</f>
        <v>血糖试纸</v>
      </c>
      <c r="B644" t="str">
        <f>"310205008-2"</f>
        <v>310205008-2</v>
      </c>
      <c r="C644" t="str">
        <f>"材料"</f>
        <v>材料</v>
      </c>
      <c r="D644" t="str">
        <f>"C18010100000000000000000000"</f>
        <v>C18010100000000000000000000</v>
      </c>
      <c r="G644">
        <v>1.15</v>
      </c>
      <c r="I644">
        <v>1</v>
      </c>
      <c r="K644" t="str">
        <f>"XTSZ"</f>
        <v>XTSZ</v>
      </c>
      <c r="L644" t="str">
        <f>"TOYX"</f>
        <v>TOYX</v>
      </c>
      <c r="M644">
        <v>4.2</v>
      </c>
      <c r="N644" t="str">
        <f>"310205008-2"</f>
        <v>310205008-2</v>
      </c>
      <c r="O644" t="str">
        <f>"片"</f>
        <v>片</v>
      </c>
      <c r="P644" t="str">
        <f>"材料费"</f>
        <v>材料费</v>
      </c>
    </row>
    <row r="645" spans="1:16">
      <c r="A645" t="str">
        <f>"连续动态血糖监测"</f>
        <v>连续动态血糖监测</v>
      </c>
      <c r="B645">
        <v>310205009</v>
      </c>
      <c r="C645" t="str">
        <f t="shared" ref="C645:C648" si="208">"检查"</f>
        <v>检查</v>
      </c>
      <c r="G645">
        <v>650</v>
      </c>
      <c r="I645" t="str">
        <f t="shared" si="206"/>
        <v>次</v>
      </c>
      <c r="K645" t="str">
        <f>"LXDTXTJC"</f>
        <v>LXDTXTJC</v>
      </c>
      <c r="L645" t="str">
        <f>"LXFDTOJI"</f>
        <v>LXFDTOJI</v>
      </c>
      <c r="M645">
        <v>650</v>
      </c>
      <c r="N645">
        <v>310205009</v>
      </c>
      <c r="O645" t="str">
        <f t="shared" si="207"/>
        <v>次</v>
      </c>
      <c r="P645" t="str">
        <f t="shared" ref="P645:P648" si="209">"检查费"</f>
        <v>检查费</v>
      </c>
    </row>
    <row r="646" spans="1:16">
      <c r="A646" t="str">
        <f>"角膜知觉检查"</f>
        <v>角膜知觉检查</v>
      </c>
      <c r="B646">
        <v>310300043</v>
      </c>
      <c r="C646" t="str">
        <f t="shared" ref="C646:C651" si="210">"其他"</f>
        <v>其他</v>
      </c>
      <c r="D646" t="str">
        <f>"003103000430000"</f>
        <v>003103000430000</v>
      </c>
      <c r="G646">
        <v>13</v>
      </c>
      <c r="I646" t="str">
        <f t="shared" si="206"/>
        <v>次</v>
      </c>
      <c r="K646" t="str">
        <f>"JMZJJC"</f>
        <v>JMZJJC</v>
      </c>
      <c r="L646" t="str">
        <f>"QETISS"</f>
        <v>QETISS</v>
      </c>
      <c r="M646">
        <v>13</v>
      </c>
      <c r="N646">
        <v>310300043</v>
      </c>
      <c r="O646" t="str">
        <f t="shared" si="207"/>
        <v>次</v>
      </c>
      <c r="P646" t="str">
        <f t="shared" si="209"/>
        <v>检查费</v>
      </c>
    </row>
    <row r="647" spans="1:16">
      <c r="A647" t="str">
        <f>"房水荧光测定"</f>
        <v>房水荧光测定</v>
      </c>
      <c r="B647">
        <v>310300047</v>
      </c>
      <c r="C647" t="str">
        <f t="shared" si="208"/>
        <v>检查</v>
      </c>
      <c r="D647" t="str">
        <f>"003103000470000"</f>
        <v>003103000470000</v>
      </c>
      <c r="G647">
        <v>13</v>
      </c>
      <c r="I647" t="str">
        <f t="shared" si="206"/>
        <v>次</v>
      </c>
      <c r="K647" t="str">
        <f>"FSYGCD"</f>
        <v>FSYGCD</v>
      </c>
      <c r="L647" t="str">
        <f>"YIAIIP"</f>
        <v>YIAIIP</v>
      </c>
      <c r="M647">
        <v>13</v>
      </c>
      <c r="N647">
        <v>310300047</v>
      </c>
      <c r="O647" t="str">
        <f t="shared" si="207"/>
        <v>次</v>
      </c>
      <c r="P647" t="str">
        <f t="shared" si="209"/>
        <v>检查费</v>
      </c>
    </row>
    <row r="648" spans="1:16">
      <c r="A648" t="str">
        <f>"眼底检查（间接眼底镜法）"</f>
        <v>眼底检查（间接眼底镜法）</v>
      </c>
      <c r="B648" t="str">
        <f>"310300056-1"</f>
        <v>310300056-1</v>
      </c>
      <c r="C648" t="str">
        <f t="shared" si="208"/>
        <v>检查</v>
      </c>
      <c r="G648">
        <v>8</v>
      </c>
      <c r="I648" t="str">
        <f>"项"</f>
        <v>项</v>
      </c>
      <c r="K648" t="str">
        <f>"YDJCJJYDJF"</f>
        <v>YDJCJJYDJF</v>
      </c>
      <c r="L648" t="str">
        <f>"HYSSURHYQI"</f>
        <v>HYSSURHYQI</v>
      </c>
      <c r="M648">
        <v>8</v>
      </c>
      <c r="N648">
        <v>310300056</v>
      </c>
      <c r="O648" t="str">
        <f>"项"</f>
        <v>项</v>
      </c>
      <c r="P648" t="str">
        <f t="shared" si="209"/>
        <v>检查费</v>
      </c>
    </row>
    <row r="649" spans="1:16">
      <c r="A649" t="str">
        <f>"鼻腔取活检术"</f>
        <v>鼻腔取活检术</v>
      </c>
      <c r="B649">
        <v>310402013</v>
      </c>
      <c r="C649" t="str">
        <f t="shared" si="210"/>
        <v>其他</v>
      </c>
      <c r="D649" t="str">
        <f>"003104020130000"</f>
        <v>003104020130000</v>
      </c>
      <c r="G649">
        <v>39</v>
      </c>
      <c r="I649" t="str">
        <f t="shared" ref="I649:I651" si="211">"次"</f>
        <v>次</v>
      </c>
      <c r="K649" t="str">
        <f>"BQQHJS"</f>
        <v>BQQHJS</v>
      </c>
      <c r="L649" t="str">
        <f>"TEBISS"</f>
        <v>TEBISS</v>
      </c>
      <c r="M649">
        <v>39</v>
      </c>
      <c r="N649">
        <v>310402013</v>
      </c>
      <c r="O649" t="str">
        <f t="shared" ref="O649:O651" si="212">"次"</f>
        <v>次</v>
      </c>
      <c r="P649" t="str">
        <f t="shared" ref="P649:P651" si="213">"治疗费"</f>
        <v>治疗费</v>
      </c>
    </row>
    <row r="650" spans="1:16">
      <c r="A650" t="str">
        <f>"鼻咽部活检术"</f>
        <v>鼻咽部活检术</v>
      </c>
      <c r="B650">
        <v>310402016</v>
      </c>
      <c r="C650" t="str">
        <f t="shared" si="210"/>
        <v>其他</v>
      </c>
      <c r="D650" t="str">
        <f>"003104020160000"</f>
        <v>003104020160000</v>
      </c>
      <c r="G650">
        <v>98</v>
      </c>
      <c r="I650" t="str">
        <f t="shared" si="211"/>
        <v>次</v>
      </c>
      <c r="K650" t="str">
        <f>"BYBHJS"</f>
        <v>BYBHJS</v>
      </c>
      <c r="L650" t="str">
        <f>"TKUISS"</f>
        <v>TKUISS</v>
      </c>
      <c r="M650">
        <v>98</v>
      </c>
      <c r="N650">
        <v>310402016</v>
      </c>
      <c r="O650" t="str">
        <f t="shared" si="212"/>
        <v>次</v>
      </c>
      <c r="P650" t="str">
        <f t="shared" si="213"/>
        <v>治疗费</v>
      </c>
    </row>
    <row r="651" spans="1:16">
      <c r="A651" t="str">
        <f>"下鼻甲封闭术"</f>
        <v>下鼻甲封闭术</v>
      </c>
      <c r="B651">
        <v>310402017</v>
      </c>
      <c r="C651" t="str">
        <f t="shared" si="210"/>
        <v>其他</v>
      </c>
      <c r="D651" t="str">
        <f>"003104020170000"</f>
        <v>003104020170000</v>
      </c>
      <c r="G651">
        <v>26</v>
      </c>
      <c r="I651" t="str">
        <f t="shared" si="211"/>
        <v>次</v>
      </c>
      <c r="K651" t="str">
        <f>"XBJFBS"</f>
        <v>XBJFBS</v>
      </c>
      <c r="L651" t="str">
        <f>"GTLFUS"</f>
        <v>GTLFUS</v>
      </c>
      <c r="M651">
        <v>26</v>
      </c>
      <c r="N651">
        <v>310402017</v>
      </c>
      <c r="O651" t="str">
        <f t="shared" si="212"/>
        <v>次</v>
      </c>
      <c r="P651" t="str">
        <f t="shared" si="213"/>
        <v>治疗费</v>
      </c>
    </row>
    <row r="652" spans="1:16">
      <c r="A652" t="str">
        <f>"银尔通活性银离子抗菌液"</f>
        <v>银尔通活性银离子抗菌液</v>
      </c>
      <c r="B652" t="str">
        <f>"310403016-1"</f>
        <v>310403016-1</v>
      </c>
      <c r="C652" t="str">
        <f t="shared" ref="C652:C655" si="214">"材料"</f>
        <v>材料</v>
      </c>
      <c r="D652" t="str">
        <f>"C17011021607000045650000007"</f>
        <v>C17011021607000045650000007</v>
      </c>
      <c r="G652">
        <v>94.5</v>
      </c>
      <c r="I652" t="str">
        <f>"30ml"</f>
        <v>30ml</v>
      </c>
      <c r="K652" t="str">
        <f>"YETHXYLZKJY"</f>
        <v>YETHXYLZKJY</v>
      </c>
      <c r="L652" t="str">
        <f>"QQCINQYBRAI"</f>
        <v>QQCINQYBRAI</v>
      </c>
      <c r="M652">
        <v>99</v>
      </c>
      <c r="N652" t="str">
        <f>"310403016-1"</f>
        <v>310403016-1</v>
      </c>
      <c r="O652" t="str">
        <f>"盒"</f>
        <v>盒</v>
      </c>
      <c r="P652" t="str">
        <f t="shared" ref="P652:P655" si="215">"材料费"</f>
        <v>材料费</v>
      </c>
    </row>
    <row r="653" spans="1:16">
      <c r="A653" t="str">
        <f>"活性银离子抗菌液(银尔通)"</f>
        <v>活性银离子抗菌液(银尔通)</v>
      </c>
      <c r="B653" t="str">
        <f>"310403016-1-1"</f>
        <v>310403016-1-1</v>
      </c>
      <c r="C653" t="str">
        <f t="shared" si="214"/>
        <v>材料</v>
      </c>
      <c r="D653" t="str">
        <f>"C17011021607000045650000014"</f>
        <v>C17011021607000045650000014</v>
      </c>
      <c r="G653">
        <v>94.2</v>
      </c>
      <c r="I653" t="str">
        <f>"200ml"</f>
        <v>200ml</v>
      </c>
      <c r="K653" t="str">
        <f>"HXYLZKJYYET"</f>
        <v>HXYLZKJYYET</v>
      </c>
      <c r="L653" t="str">
        <f>"INQYBRAIQQC"</f>
        <v>INQYBRAIQQC</v>
      </c>
      <c r="M653">
        <v>99</v>
      </c>
      <c r="N653" t="str">
        <f>"310403016-1"</f>
        <v>310403016-1</v>
      </c>
      <c r="O653" t="str">
        <f>"盒"</f>
        <v>盒</v>
      </c>
      <c r="P653" t="str">
        <f t="shared" si="215"/>
        <v>材料费</v>
      </c>
    </row>
    <row r="654" spans="1:16">
      <c r="A654" t="str">
        <f>"生物多糖液体敷料"</f>
        <v>生物多糖液体敷料</v>
      </c>
      <c r="B654" t="str">
        <f>"310403016-2"</f>
        <v>310403016-2</v>
      </c>
      <c r="C654" t="str">
        <f t="shared" si="214"/>
        <v>材料</v>
      </c>
      <c r="D654" t="str">
        <f>"C07120415000000074550000001"</f>
        <v>C07120415000000074550000001</v>
      </c>
      <c r="G654">
        <v>84</v>
      </c>
      <c r="I654" t="str">
        <f>"100ML"</f>
        <v>100ML</v>
      </c>
      <c r="K654" t="str">
        <f>"SWDTYTFL"</f>
        <v>SWDTYTFL</v>
      </c>
      <c r="L654" t="str">
        <f>"TTQOIWGO"</f>
        <v>TTQOIWGO</v>
      </c>
      <c r="M654">
        <v>95</v>
      </c>
      <c r="O654" t="str">
        <f>"瓶"</f>
        <v>瓶</v>
      </c>
      <c r="P654" t="str">
        <f t="shared" si="215"/>
        <v>材料费</v>
      </c>
    </row>
    <row r="655" spans="1:16">
      <c r="A655" t="str">
        <f>"一次性口腔器械盒（外科）"</f>
        <v>一次性口腔器械盒（外科）</v>
      </c>
      <c r="B655" t="str">
        <f>"3105-2-3"</f>
        <v>3105-2-3</v>
      </c>
      <c r="C655" t="str">
        <f t="shared" si="214"/>
        <v>材料</v>
      </c>
      <c r="D655" t="str">
        <f>"C14020200000000067410000001"</f>
        <v>C14020200000000067410000001</v>
      </c>
      <c r="G655">
        <v>4.2</v>
      </c>
      <c r="I655" t="str">
        <f>"套"</f>
        <v>套</v>
      </c>
      <c r="K655" t="str">
        <f>"YCXKQQXHWK"</f>
        <v>YCXKQQXHWK</v>
      </c>
      <c r="L655" t="str">
        <f>"GUNKEKSWQT"</f>
        <v>GUNKEKSWQT</v>
      </c>
      <c r="M655">
        <v>4.2</v>
      </c>
      <c r="N655" t="str">
        <f>"3105-2-3"</f>
        <v>3105-2-3</v>
      </c>
      <c r="O655" t="str">
        <f>"套"</f>
        <v>套</v>
      </c>
      <c r="P655" t="str">
        <f t="shared" si="215"/>
        <v>材料费</v>
      </c>
    </row>
    <row r="656" spans="1:16">
      <c r="A656" t="str">
        <f>"口腔模型制备"</f>
        <v>口腔模型制备</v>
      </c>
      <c r="B656">
        <v>310501007</v>
      </c>
      <c r="C656" t="str">
        <f>"其他"</f>
        <v>其他</v>
      </c>
      <c r="D656" t="str">
        <f>"003105010070000"</f>
        <v>003105010070000</v>
      </c>
      <c r="G656">
        <v>24</v>
      </c>
      <c r="I656" t="str">
        <f>"单颌"</f>
        <v>单颌</v>
      </c>
      <c r="K656" t="str">
        <f>"KQMXZB"</f>
        <v>KQMXZB</v>
      </c>
      <c r="L656" t="str">
        <f>"KESGRT"</f>
        <v>KESGRT</v>
      </c>
      <c r="M656">
        <v>24</v>
      </c>
      <c r="N656">
        <v>310501007</v>
      </c>
      <c r="O656" t="str">
        <f>"单颌"</f>
        <v>单颌</v>
      </c>
      <c r="P656" t="str">
        <f>"治疗费"</f>
        <v>治疗费</v>
      </c>
    </row>
    <row r="657" spans="1:16">
      <c r="A657" t="str">
        <f>"测色仪检查"</f>
        <v>测色仪检查</v>
      </c>
      <c r="B657">
        <v>310508002</v>
      </c>
      <c r="C657" t="str">
        <f>"检查"</f>
        <v>检查</v>
      </c>
      <c r="D657" t="str">
        <f>"003105080020000"</f>
        <v>003105080020000</v>
      </c>
      <c r="G657">
        <v>4.8</v>
      </c>
      <c r="I657" t="str">
        <f>"次"</f>
        <v>次</v>
      </c>
      <c r="K657" t="str">
        <f>"CSYJC"</f>
        <v>CSYJC</v>
      </c>
      <c r="L657" t="str">
        <f>"IQWSS"</f>
        <v>IQWSS</v>
      </c>
      <c r="M657">
        <v>4.8</v>
      </c>
      <c r="N657">
        <v>310508002</v>
      </c>
      <c r="O657" t="str">
        <f>"次"</f>
        <v>次</v>
      </c>
      <c r="P657" t="str">
        <f>"检查费"</f>
        <v>检查费</v>
      </c>
    </row>
    <row r="658" spans="1:16">
      <c r="A658" t="str">
        <f>"明胶海绵@"</f>
        <v>明胶海绵@</v>
      </c>
      <c r="B658" t="str">
        <f>"310510007-2-1"</f>
        <v>310510007-2-1</v>
      </c>
      <c r="C658" t="str">
        <f t="shared" ref="C658:C667" si="216">"材料"</f>
        <v>材料</v>
      </c>
      <c r="D658" t="str">
        <f>"C15010521201004005480000002"</f>
        <v>C15010521201004005480000002</v>
      </c>
      <c r="G658">
        <v>4.4</v>
      </c>
      <c r="I658" t="str">
        <f>"项"</f>
        <v>项</v>
      </c>
      <c r="K658" t="str">
        <f>"MJHM"</f>
        <v>MJHM</v>
      </c>
      <c r="L658" t="str">
        <f>"JEIX"</f>
        <v>JEIX</v>
      </c>
      <c r="M658">
        <v>4.4</v>
      </c>
      <c r="N658" t="str">
        <f>"310510007-2-1"</f>
        <v>310510007-2-1</v>
      </c>
      <c r="O658" t="str">
        <f>"项"</f>
        <v>项</v>
      </c>
      <c r="P658" t="str">
        <f t="shared" ref="P658:P667" si="217">"材料费"</f>
        <v>材料费</v>
      </c>
    </row>
    <row r="659" spans="1:16">
      <c r="A659" t="str">
        <f>"牙齿脱敏剂"</f>
        <v>牙齿脱敏剂</v>
      </c>
      <c r="B659" t="str">
        <f>"31051003-1"</f>
        <v>31051003-1</v>
      </c>
      <c r="C659" t="str">
        <f t="shared" si="216"/>
        <v>材料</v>
      </c>
      <c r="D659" t="str">
        <f>"C07050414300000038650000016"</f>
        <v>C07050414300000038650000016</v>
      </c>
      <c r="G659">
        <v>64.8</v>
      </c>
      <c r="I659" t="str">
        <f>"30g"</f>
        <v>30g</v>
      </c>
      <c r="K659" t="str">
        <f>"YCTMJ"</f>
        <v>YCTMJ</v>
      </c>
      <c r="L659" t="str">
        <f>"AHETY"</f>
        <v>AHETY</v>
      </c>
      <c r="M659">
        <v>71</v>
      </c>
      <c r="N659" t="str">
        <f>"31051003-1"</f>
        <v>31051003-1</v>
      </c>
      <c r="O659" t="str">
        <f>"盒"</f>
        <v>盒</v>
      </c>
      <c r="P659" t="str">
        <f t="shared" si="217"/>
        <v>材料费</v>
      </c>
    </row>
    <row r="660" spans="1:16">
      <c r="A660" t="str">
        <f>"口腔进口垫底材料（DMG）"</f>
        <v>口腔进口垫底材料（DMG）</v>
      </c>
      <c r="B660" t="str">
        <f>"310511002-1-4"</f>
        <v>310511002-1-4</v>
      </c>
      <c r="C660" t="str">
        <f t="shared" si="216"/>
        <v>材料</v>
      </c>
      <c r="D660" t="str">
        <f>"C07040114102001004040000005"</f>
        <v>C07040114102001004040000005</v>
      </c>
      <c r="G660">
        <v>12</v>
      </c>
      <c r="I660" t="str">
        <f>"10ml/瓶"</f>
        <v>10ml/瓶</v>
      </c>
      <c r="K660" t="str">
        <f>"KQJKDDCLDMG"</f>
        <v>KQJKDDCLDMG</v>
      </c>
      <c r="L660" t="str">
        <f>"KEFKRYSODMG"</f>
        <v>KEFKRYSODMG</v>
      </c>
      <c r="M660">
        <v>12</v>
      </c>
      <c r="N660" t="str">
        <f>"310511002-1"</f>
        <v>310511002-1</v>
      </c>
      <c r="O660" t="str">
        <f t="shared" ref="O660:O663" si="218">"每牙"</f>
        <v>每牙</v>
      </c>
      <c r="P660" t="str">
        <f t="shared" si="217"/>
        <v>材料费</v>
      </c>
    </row>
    <row r="661" spans="1:16">
      <c r="A661" t="str">
        <f>"3M光固化纳米复合树脂(Z350)"</f>
        <v>3M光固化纳米复合树脂(Z350)</v>
      </c>
      <c r="B661" t="str">
        <f>"310511003-1"</f>
        <v>310511003-1</v>
      </c>
      <c r="C661" t="str">
        <f t="shared" si="216"/>
        <v>材料</v>
      </c>
      <c r="D661" t="str">
        <f>"C07050114301000048640000016"</f>
        <v>C07050114301000048640000016</v>
      </c>
      <c r="G661">
        <v>60</v>
      </c>
      <c r="I661" t="str">
        <f>"4g"</f>
        <v>4g</v>
      </c>
      <c r="K661" t="str">
        <f>"3MGGHNMFHSZZ350"</f>
        <v>3MGGHNMFHSZZ350</v>
      </c>
      <c r="L661" t="str">
        <f>"3MILWXOTWSEZ350"</f>
        <v>3MILWXOTWSEZ350</v>
      </c>
      <c r="M661">
        <v>60</v>
      </c>
      <c r="O661" t="str">
        <f>"支"</f>
        <v>支</v>
      </c>
      <c r="P661" t="str">
        <f t="shared" si="217"/>
        <v>材料费</v>
      </c>
    </row>
    <row r="662" spans="1:16">
      <c r="A662" t="str">
        <f>"3M自酸蚀粘结剂(捷棒)"</f>
        <v>3M自酸蚀粘结剂(捷棒)</v>
      </c>
      <c r="B662" t="str">
        <f>"310511004-1-1"</f>
        <v>310511004-1-1</v>
      </c>
      <c r="C662" t="str">
        <f t="shared" si="216"/>
        <v>材料</v>
      </c>
      <c r="D662" t="str">
        <f>"C07040214200001048640000022"</f>
        <v>C07040214200001048640000022</v>
      </c>
      <c r="G662">
        <v>37</v>
      </c>
      <c r="I662" t="str">
        <f>"(A液6ml/支+B液2ml/支)/套"</f>
        <v>(A液6ml/支+B液2ml/支)/套</v>
      </c>
      <c r="K662" t="str">
        <f>"3MZSSZJJJB"</f>
        <v>3MZSSZJJJB</v>
      </c>
      <c r="L662" t="str">
        <f>"3MTSQOXYRS"</f>
        <v>3MTSQOXYRS</v>
      </c>
      <c r="M662">
        <v>37</v>
      </c>
      <c r="N662" t="str">
        <f>"310511004-1"</f>
        <v>310511004-1</v>
      </c>
      <c r="O662" t="str">
        <f t="shared" si="218"/>
        <v>每牙</v>
      </c>
      <c r="P662" t="str">
        <f t="shared" si="217"/>
        <v>材料费</v>
      </c>
    </row>
    <row r="663" spans="1:16">
      <c r="A663" t="str">
        <f>"3592259-流动树脂"</f>
        <v>3592259-流动树脂</v>
      </c>
      <c r="B663" t="str">
        <f>"310511004-1-17"</f>
        <v>310511004-1-17</v>
      </c>
      <c r="C663" t="str">
        <f t="shared" si="216"/>
        <v>材料</v>
      </c>
      <c r="G663">
        <v>42</v>
      </c>
      <c r="I663" t="str">
        <f>"注射器装，2*2g／包"</f>
        <v>注射器装，2*2g／包</v>
      </c>
      <c r="K663" t="str">
        <f>"3592259LDSZ"</f>
        <v>3592259LDSZ</v>
      </c>
      <c r="L663" t="str">
        <f>"3592259IFSE"</f>
        <v>3592259IFSE</v>
      </c>
      <c r="M663">
        <v>42</v>
      </c>
      <c r="O663" t="str">
        <f t="shared" si="218"/>
        <v>每牙</v>
      </c>
      <c r="P663" t="str">
        <f t="shared" si="217"/>
        <v>材料费</v>
      </c>
    </row>
    <row r="664" spans="1:16">
      <c r="A664" t="str">
        <f>"进口光固化氢氧化钙糊剂+"</f>
        <v>进口光固化氢氧化钙糊剂+</v>
      </c>
      <c r="B664" t="str">
        <f>"310511011-1"</f>
        <v>310511011-1</v>
      </c>
      <c r="C664" t="str">
        <f t="shared" si="216"/>
        <v>材料</v>
      </c>
      <c r="G664">
        <v>45</v>
      </c>
      <c r="I664" t="str">
        <f>"无"</f>
        <v>无</v>
      </c>
      <c r="K664" t="str">
        <f>"JKGGHQYHGHJ"</f>
        <v>JKGGHQYHGHJ</v>
      </c>
      <c r="L664" t="str">
        <f>"FKILWRRWQOY"</f>
        <v>FKILWRRWQOY</v>
      </c>
      <c r="M664">
        <v>45</v>
      </c>
      <c r="O664" t="str">
        <f>"支"</f>
        <v>支</v>
      </c>
      <c r="P664" t="str">
        <f t="shared" si="217"/>
        <v>材料费</v>
      </c>
    </row>
    <row r="665" spans="1:16">
      <c r="A665" t="str">
        <f>"牙胶尖"</f>
        <v>牙胶尖</v>
      </c>
      <c r="B665" t="str">
        <f>"310511017-1-1"</f>
        <v>310511017-1-1</v>
      </c>
      <c r="C665" t="str">
        <f t="shared" si="216"/>
        <v>材料</v>
      </c>
      <c r="D665" t="str">
        <f>"C07030414000001127950000001"</f>
        <v>C07030414000001127950000001</v>
      </c>
      <c r="G665" t="str">
        <f>"0.5"</f>
        <v>0.5</v>
      </c>
      <c r="I665" t="str">
        <f>"120支/盒"</f>
        <v>120支/盒</v>
      </c>
      <c r="K665" t="str">
        <f>"YJJ"</f>
        <v>YJJ</v>
      </c>
      <c r="L665" t="str">
        <f>"AEI"</f>
        <v>AEI</v>
      </c>
      <c r="M665" t="str">
        <f>"0.5"</f>
        <v>0.5</v>
      </c>
      <c r="N665" t="str">
        <f>"310511017-1"</f>
        <v>310511017-1</v>
      </c>
      <c r="O665" t="str">
        <f t="shared" ref="O665:O667" si="219">"每根管"</f>
        <v>每根管</v>
      </c>
      <c r="P665" t="str">
        <f t="shared" si="217"/>
        <v>材料费</v>
      </c>
    </row>
    <row r="666" spans="1:16">
      <c r="A666" t="str">
        <f>"口腔进口根管填充材料"</f>
        <v>口腔进口根管填充材料</v>
      </c>
      <c r="B666" t="str">
        <f>"310511017-1-4"</f>
        <v>310511017-1-4</v>
      </c>
      <c r="C666" t="str">
        <f t="shared" si="216"/>
        <v>材料</v>
      </c>
      <c r="G666">
        <v>38</v>
      </c>
      <c r="I666" t="str">
        <f t="shared" ref="I666:I669" si="220">"10mg/管"</f>
        <v>10mg/管</v>
      </c>
      <c r="K666" t="str">
        <f>"KQJKGGTCCL"</f>
        <v>KQJKGGTCCL</v>
      </c>
      <c r="L666" t="str">
        <f>"KEFKSTFYSO"</f>
        <v>KEFKSTFYSO</v>
      </c>
      <c r="M666">
        <v>38</v>
      </c>
      <c r="O666" t="str">
        <f t="shared" si="219"/>
        <v>每根管</v>
      </c>
      <c r="P666" t="str">
        <f t="shared" si="217"/>
        <v>材料费</v>
      </c>
    </row>
    <row r="667" spans="1:16">
      <c r="A667" t="str">
        <f>"口腔进口根管充填材料"</f>
        <v>口腔进口根管充填材料</v>
      </c>
      <c r="B667" t="str">
        <f>"310511017-1-5"</f>
        <v>310511017-1-5</v>
      </c>
      <c r="C667" t="str">
        <f t="shared" si="216"/>
        <v>材料</v>
      </c>
      <c r="D667" t="str">
        <f>"C07030414000001065250000001"</f>
        <v>C07030414000001065250000001</v>
      </c>
      <c r="G667">
        <v>17</v>
      </c>
      <c r="I667" t="str">
        <f t="shared" si="220"/>
        <v>10mg/管</v>
      </c>
      <c r="K667" t="str">
        <f>"KQJKGGCTCL"</f>
        <v>KQJKGGCTCL</v>
      </c>
      <c r="L667" t="str">
        <f>"KEFKSTYFSO"</f>
        <v>KEFKSTYFSO</v>
      </c>
      <c r="M667">
        <v>17</v>
      </c>
      <c r="N667" t="str">
        <f>"310511017-1-5"</f>
        <v>310511017-1-5</v>
      </c>
      <c r="O667" t="str">
        <f t="shared" si="219"/>
        <v>每根管</v>
      </c>
      <c r="P667" t="str">
        <f t="shared" si="217"/>
        <v>材料费</v>
      </c>
    </row>
    <row r="668" spans="1:16">
      <c r="A668" t="str">
        <f>"牙槽骨烧伤清创术"</f>
        <v>牙槽骨烧伤清创术</v>
      </c>
      <c r="B668">
        <v>310511024</v>
      </c>
      <c r="C668" t="str">
        <f t="shared" ref="C668:C676" si="221">"其他"</f>
        <v>其他</v>
      </c>
      <c r="D668" t="str">
        <f>"003105110240000"</f>
        <v>003105110240000</v>
      </c>
      <c r="G668">
        <v>24</v>
      </c>
      <c r="I668" t="str">
        <f>"-"</f>
        <v>-</v>
      </c>
      <c r="K668" t="str">
        <f>"YCGSSQCS"</f>
        <v>YCGSSQCS</v>
      </c>
      <c r="L668" t="str">
        <f>"ASMOWIWS"</f>
        <v>ASMOWIWS</v>
      </c>
      <c r="M668">
        <v>24</v>
      </c>
      <c r="N668">
        <v>310511024</v>
      </c>
      <c r="O668" t="str">
        <f>"次"</f>
        <v>次</v>
      </c>
      <c r="P668" t="str">
        <f>"手术费"</f>
        <v>手术费</v>
      </c>
    </row>
    <row r="669" spans="1:16">
      <c r="A669" t="str">
        <f>"口腔进口根尖诱导剂"</f>
        <v>口腔进口根尖诱导剂</v>
      </c>
      <c r="B669" t="str">
        <f>"310512001-1"</f>
        <v>310512001-1</v>
      </c>
      <c r="C669" t="str">
        <f>"材料"</f>
        <v>材料</v>
      </c>
      <c r="D669" t="str">
        <f>"C07030314000000110440000001"</f>
        <v>C07030314000000110440000001</v>
      </c>
      <c r="G669">
        <v>35</v>
      </c>
      <c r="I669" t="str">
        <f t="shared" si="220"/>
        <v>10mg/管</v>
      </c>
      <c r="K669" t="str">
        <f>"KQJKGJYDJ"</f>
        <v>KQJKGJYDJ</v>
      </c>
      <c r="L669" t="str">
        <f>"KEFKSIYNY"</f>
        <v>KEFKSIYNY</v>
      </c>
      <c r="M669">
        <v>35</v>
      </c>
      <c r="N669" t="str">
        <f>"310512001-1"</f>
        <v>310512001-1</v>
      </c>
      <c r="O669" t="str">
        <f>"每根管"</f>
        <v>每根管</v>
      </c>
      <c r="P669" t="str">
        <f>"材料费"</f>
        <v>材料费</v>
      </c>
    </row>
    <row r="670" spans="1:16">
      <c r="A670" t="str">
        <f>"颞下颌关节复位术"</f>
        <v>颞下颌关节复位术</v>
      </c>
      <c r="B670">
        <v>310515001</v>
      </c>
      <c r="C670" t="str">
        <f t="shared" si="221"/>
        <v>其他</v>
      </c>
      <c r="D670" t="str">
        <f>"003105150010000"</f>
        <v>003105150010000</v>
      </c>
      <c r="G670">
        <v>42</v>
      </c>
      <c r="I670">
        <v>1</v>
      </c>
      <c r="K670" t="str">
        <f>"NXHGJFWS"</f>
        <v>NXHGJFWS</v>
      </c>
      <c r="L670" t="str">
        <f>"BGWUATWS"</f>
        <v>BGWUATWS</v>
      </c>
      <c r="M670">
        <v>42</v>
      </c>
      <c r="N670">
        <v>310515001</v>
      </c>
      <c r="O670" t="str">
        <f>"每次"</f>
        <v>每次</v>
      </c>
      <c r="P670" t="str">
        <f t="shared" ref="P670:P683" si="222">"治疗费"</f>
        <v>治疗费</v>
      </c>
    </row>
    <row r="671" spans="1:16">
      <c r="A671" t="str">
        <f>"冠周炎局部治疗"</f>
        <v>冠周炎局部治疗</v>
      </c>
      <c r="B671">
        <v>310515002</v>
      </c>
      <c r="C671" t="str">
        <f t="shared" si="221"/>
        <v>其他</v>
      </c>
      <c r="D671" t="str">
        <f>"003105150020000"</f>
        <v>003105150020000</v>
      </c>
      <c r="G671">
        <v>10</v>
      </c>
      <c r="I671" t="str">
        <f>"次"</f>
        <v>次</v>
      </c>
      <c r="K671" t="str">
        <f>"GZYJBZL"</f>
        <v>GZYJBZL</v>
      </c>
      <c r="L671" t="str">
        <f>"PMONUIU"</f>
        <v>PMONUIU</v>
      </c>
      <c r="M671">
        <v>10</v>
      </c>
      <c r="N671">
        <v>310515002</v>
      </c>
      <c r="O671" t="str">
        <f>"次"</f>
        <v>次</v>
      </c>
      <c r="P671" t="str">
        <f t="shared" si="222"/>
        <v>治疗费</v>
      </c>
    </row>
    <row r="672" spans="1:16">
      <c r="A672" t="str">
        <f>"口腔颌面部各类冷冻治疗"</f>
        <v>口腔颌面部各类冷冻治疗</v>
      </c>
      <c r="B672">
        <v>310515008</v>
      </c>
      <c r="C672" t="str">
        <f t="shared" si="221"/>
        <v>其他</v>
      </c>
      <c r="D672" t="str">
        <f>"003105150080000"</f>
        <v>003105150080000</v>
      </c>
      <c r="G672">
        <v>30</v>
      </c>
      <c r="I672" t="str">
        <f>"每部位"</f>
        <v>每部位</v>
      </c>
      <c r="K672" t="str">
        <f>"KQHMBGLLDZL"</f>
        <v>KQHMBGLLDZL</v>
      </c>
      <c r="L672" t="str">
        <f>"KEWDUTOUUIU"</f>
        <v>KEWDUTOUUIU</v>
      </c>
      <c r="M672">
        <v>30</v>
      </c>
      <c r="N672">
        <v>310515008</v>
      </c>
      <c r="O672" t="str">
        <f>"每部位"</f>
        <v>每部位</v>
      </c>
      <c r="P672" t="str">
        <f t="shared" si="222"/>
        <v>治疗费</v>
      </c>
    </row>
    <row r="673" spans="1:16">
      <c r="A673" t="str">
        <f>"调磨合(代)垫"</f>
        <v>调磨合(代)垫</v>
      </c>
      <c r="B673">
        <v>310516003</v>
      </c>
      <c r="C673" t="str">
        <f t="shared" si="221"/>
        <v>其他</v>
      </c>
      <c r="D673" t="str">
        <f>"003105160030000"</f>
        <v>003105160030000</v>
      </c>
      <c r="G673">
        <v>6</v>
      </c>
      <c r="I673">
        <v>1</v>
      </c>
      <c r="K673" t="str">
        <f>"TMH(D)D"</f>
        <v>TMH(D)D</v>
      </c>
      <c r="L673" t="str">
        <f>"YYWWR"</f>
        <v>YYWWR</v>
      </c>
      <c r="M673">
        <v>6</v>
      </c>
      <c r="N673">
        <v>310516003</v>
      </c>
      <c r="O673" t="str">
        <f>"每次"</f>
        <v>每次</v>
      </c>
      <c r="P673" t="str">
        <f t="shared" si="222"/>
        <v>治疗费</v>
      </c>
    </row>
    <row r="674" spans="1:16">
      <c r="A674" t="str">
        <f>"冠修复"</f>
        <v>冠修复</v>
      </c>
      <c r="B674">
        <v>310517001</v>
      </c>
      <c r="C674" t="str">
        <f t="shared" si="221"/>
        <v>其他</v>
      </c>
      <c r="D674" t="str">
        <f>"003105170010000"</f>
        <v>003105170010000</v>
      </c>
      <c r="G674">
        <v>96</v>
      </c>
      <c r="I674" t="str">
        <f t="shared" ref="I674:I677" si="223">"每牙"</f>
        <v>每牙</v>
      </c>
      <c r="K674" t="str">
        <f>"RYYCGXF"</f>
        <v>RYYCGXF</v>
      </c>
      <c r="L674" t="str">
        <f>"EACDPWT"</f>
        <v>EACDPWT</v>
      </c>
      <c r="M674">
        <v>96</v>
      </c>
      <c r="N674">
        <v>310517001</v>
      </c>
      <c r="O674" t="str">
        <f t="shared" ref="O674:O678" si="224">"每牙"</f>
        <v>每牙</v>
      </c>
      <c r="P674" t="str">
        <f t="shared" si="222"/>
        <v>治疗费</v>
      </c>
    </row>
    <row r="675" spans="1:16">
      <c r="A675" t="str">
        <f>"冠修复（种植体冠）"</f>
        <v>冠修复（种植体冠）</v>
      </c>
      <c r="B675" t="str">
        <f>"310517001-a"</f>
        <v>310517001-a</v>
      </c>
      <c r="C675" t="str">
        <f t="shared" si="221"/>
        <v>其他</v>
      </c>
      <c r="D675" t="str">
        <f>"003105170010000"</f>
        <v>003105170010000</v>
      </c>
      <c r="G675">
        <v>120</v>
      </c>
      <c r="I675">
        <v>1</v>
      </c>
      <c r="K675" t="str">
        <f>"GXF（ZZTG）"</f>
        <v>GXF（ZZTG）</v>
      </c>
      <c r="L675" t="str">
        <f>"PWTTSWP"</f>
        <v>PWTTSWP</v>
      </c>
      <c r="M675">
        <v>120</v>
      </c>
      <c r="N675" t="str">
        <f>"310517001-a"</f>
        <v>310517001-a</v>
      </c>
      <c r="O675" t="str">
        <f t="shared" si="224"/>
        <v>每牙</v>
      </c>
      <c r="P675" t="str">
        <f t="shared" si="222"/>
        <v>治疗费</v>
      </c>
    </row>
    <row r="676" spans="1:16">
      <c r="A676" t="str">
        <f>"铸造可摘局部义齿"</f>
        <v>铸造可摘局部义齿</v>
      </c>
      <c r="B676">
        <v>310518003</v>
      </c>
      <c r="C676" t="str">
        <f t="shared" si="221"/>
        <v>其他</v>
      </c>
      <c r="D676" t="str">
        <f>"003105180030000"</f>
        <v>003105180030000</v>
      </c>
      <c r="G676">
        <v>240</v>
      </c>
      <c r="I676" t="str">
        <f t="shared" si="223"/>
        <v>每牙</v>
      </c>
      <c r="K676" t="str">
        <f>"ZZKZJBYC"</f>
        <v>ZZKZJBYC</v>
      </c>
      <c r="L676" t="str">
        <f>"QTSRNUYH"</f>
        <v>QTSRNUYH</v>
      </c>
      <c r="M676">
        <v>240</v>
      </c>
      <c r="N676">
        <v>310518003</v>
      </c>
      <c r="O676" t="str">
        <f t="shared" si="224"/>
        <v>每牙</v>
      </c>
      <c r="P676" t="str">
        <f t="shared" si="222"/>
        <v>治疗费</v>
      </c>
    </row>
    <row r="677" spans="1:16">
      <c r="A677" t="str">
        <f>"美容义齿(四层色美容修复总义齿)"</f>
        <v>美容义齿(四层色美容修复总义齿)</v>
      </c>
      <c r="B677">
        <v>310518004</v>
      </c>
      <c r="C677" t="str">
        <f t="shared" ref="C677:C689" si="225">"治疗"</f>
        <v>治疗</v>
      </c>
      <c r="D677" t="str">
        <f t="shared" ref="D677:D689" si="226">"003105180040000"</f>
        <v>003105180040000</v>
      </c>
      <c r="G677">
        <v>1000</v>
      </c>
      <c r="I677" t="str">
        <f t="shared" si="223"/>
        <v>每牙</v>
      </c>
      <c r="K677" t="str">
        <f>"MRYCSCSMRXFZYC"</f>
        <v>MRYCSCSMRXFZYC</v>
      </c>
      <c r="L677" t="str">
        <f>"UPYHLNQUPWTUYH"</f>
        <v>UPYHLNQUPWTUYH</v>
      </c>
      <c r="M677">
        <v>2000</v>
      </c>
      <c r="N677">
        <v>310518004</v>
      </c>
      <c r="O677" t="str">
        <f t="shared" si="224"/>
        <v>每牙</v>
      </c>
      <c r="P677" t="str">
        <f t="shared" si="222"/>
        <v>治疗费</v>
      </c>
    </row>
    <row r="678" spans="1:16">
      <c r="A678" t="str">
        <f>"美容义齿（铸瓷全冠）"</f>
        <v>美容义齿（铸瓷全冠）</v>
      </c>
      <c r="B678" t="str">
        <f>"310518004-1"</f>
        <v>310518004-1</v>
      </c>
      <c r="C678" t="str">
        <f t="shared" si="225"/>
        <v>治疗</v>
      </c>
      <c r="D678" t="str">
        <f t="shared" si="226"/>
        <v>003105180040000</v>
      </c>
      <c r="G678">
        <v>1800</v>
      </c>
      <c r="I678" t="str">
        <f t="shared" ref="I678:I681" si="227">"/"</f>
        <v>/</v>
      </c>
      <c r="K678" t="str">
        <f>"MRYCZCQG"</f>
        <v>MRYCZCQG</v>
      </c>
      <c r="L678" t="str">
        <f>"UPYHQUWP"</f>
        <v>UPYHQUWP</v>
      </c>
      <c r="M678">
        <v>1800</v>
      </c>
      <c r="N678">
        <v>310518004</v>
      </c>
      <c r="O678" t="str">
        <f t="shared" si="224"/>
        <v>每牙</v>
      </c>
      <c r="P678" t="str">
        <f t="shared" si="222"/>
        <v>治疗费</v>
      </c>
    </row>
    <row r="679" spans="1:16">
      <c r="A679" t="str">
        <f>"美容义齿（纯钛金属冠）"</f>
        <v>美容义齿（纯钛金属冠）</v>
      </c>
      <c r="B679" t="str">
        <f>"310518004-10"</f>
        <v>310518004-10</v>
      </c>
      <c r="C679" t="str">
        <f t="shared" si="225"/>
        <v>治疗</v>
      </c>
      <c r="D679" t="str">
        <f t="shared" si="226"/>
        <v>003105180040000</v>
      </c>
      <c r="G679">
        <v>1000</v>
      </c>
      <c r="I679" t="str">
        <f t="shared" si="227"/>
        <v>/</v>
      </c>
      <c r="K679" t="str">
        <f>"MRYCCJSG"</f>
        <v>MRYCCJSG</v>
      </c>
      <c r="L679" t="str">
        <f>"UPYHXQQNP"</f>
        <v>UPYHXQQNP</v>
      </c>
      <c r="M679">
        <v>1000</v>
      </c>
      <c r="N679">
        <v>310518004</v>
      </c>
      <c r="O679" t="str">
        <f>"例"</f>
        <v>例</v>
      </c>
      <c r="P679" t="str">
        <f t="shared" si="222"/>
        <v>治疗费</v>
      </c>
    </row>
    <row r="680" spans="1:16">
      <c r="A680" t="str">
        <f>"美容义齿(四层色美容修复总义齿(纯钛腭板))"</f>
        <v>美容义齿(四层色美容修复总义齿(纯钛腭板))</v>
      </c>
      <c r="B680" t="str">
        <f>"310518004-11"</f>
        <v>310518004-11</v>
      </c>
      <c r="C680" t="str">
        <f t="shared" si="225"/>
        <v>治疗</v>
      </c>
      <c r="D680" t="str">
        <f t="shared" si="226"/>
        <v>003105180040000</v>
      </c>
      <c r="G680">
        <v>750</v>
      </c>
      <c r="I680" t="str">
        <f t="shared" si="227"/>
        <v>/</v>
      </c>
      <c r="K680" t="str">
        <f>"MRYCSCSMRXFZYCCB"</f>
        <v>MRYCSCSMRXFZYCCB</v>
      </c>
      <c r="L680" t="str">
        <f>"UPYHLNQUPWTUYHXQ"</f>
        <v>UPYHLNQUPWTUYHXQ</v>
      </c>
      <c r="M680">
        <v>3000</v>
      </c>
      <c r="N680">
        <v>310518004</v>
      </c>
      <c r="O680" t="str">
        <f>"单颌"</f>
        <v>单颌</v>
      </c>
      <c r="P680" t="str">
        <f t="shared" si="222"/>
        <v>治疗费</v>
      </c>
    </row>
    <row r="681" spans="1:16">
      <c r="A681" t="str">
        <f>"美容义齿（纯钛中支架）"</f>
        <v>美容义齿（纯钛中支架）</v>
      </c>
      <c r="B681" t="str">
        <f>"310518004-2"</f>
        <v>310518004-2</v>
      </c>
      <c r="C681" t="str">
        <f t="shared" si="225"/>
        <v>治疗</v>
      </c>
      <c r="D681" t="str">
        <f t="shared" si="226"/>
        <v>003105180040000</v>
      </c>
      <c r="G681">
        <v>2000</v>
      </c>
      <c r="I681" t="str">
        <f t="shared" si="227"/>
        <v>/</v>
      </c>
      <c r="K681" t="str">
        <f>"MRYCCZZJ"</f>
        <v>MRYCCZZJ</v>
      </c>
      <c r="L681" t="str">
        <f>"UPYHXQKFL"</f>
        <v>UPYHXQKFL</v>
      </c>
      <c r="M681">
        <v>2000</v>
      </c>
      <c r="N681">
        <v>310518004</v>
      </c>
      <c r="O681" t="str">
        <f>"每件"</f>
        <v>每件</v>
      </c>
      <c r="P681" t="str">
        <f t="shared" si="222"/>
        <v>治疗费</v>
      </c>
    </row>
    <row r="682" spans="1:16">
      <c r="A682" t="str">
        <f>"美容义齿(四层色美容修复总义齿)"</f>
        <v>美容义齿(四层色美容修复总义齿)</v>
      </c>
      <c r="B682" t="str">
        <f>"310518004-3"</f>
        <v>310518004-3</v>
      </c>
      <c r="C682" t="str">
        <f t="shared" si="225"/>
        <v>治疗</v>
      </c>
      <c r="D682" t="str">
        <f t="shared" si="226"/>
        <v>003105180040000</v>
      </c>
      <c r="G682">
        <v>2500</v>
      </c>
      <c r="I682" t="str">
        <f>"-"</f>
        <v>-</v>
      </c>
      <c r="K682" t="str">
        <f>"MRYCSCSMRXFZYC"</f>
        <v>MRYCSCSMRXFZYC</v>
      </c>
      <c r="L682" t="str">
        <f>"UPYHLNQUPWTUYH"</f>
        <v>UPYHLNQUPWTUYH</v>
      </c>
      <c r="M682">
        <v>4000</v>
      </c>
      <c r="N682">
        <v>310518004</v>
      </c>
      <c r="O682" t="str">
        <f t="shared" ref="O682:O688" si="228">"每牙"</f>
        <v>每牙</v>
      </c>
      <c r="P682" t="str">
        <f t="shared" si="222"/>
        <v>治疗费</v>
      </c>
    </row>
    <row r="683" spans="1:16">
      <c r="A683" t="str">
        <f>"美容义齿（计算机全瓷）"</f>
        <v>美容义齿（计算机全瓷）</v>
      </c>
      <c r="B683" t="str">
        <f>"310518004-4"</f>
        <v>310518004-4</v>
      </c>
      <c r="C683" t="str">
        <f t="shared" si="225"/>
        <v>治疗</v>
      </c>
      <c r="D683" t="str">
        <f t="shared" si="226"/>
        <v>003105180040000</v>
      </c>
      <c r="G683">
        <v>3500</v>
      </c>
      <c r="I683" t="str">
        <f t="shared" ref="I683:I685" si="229">"每牙"</f>
        <v>每牙</v>
      </c>
      <c r="K683" t="str">
        <f>"MRYCJSJQC"</f>
        <v>MRYCJSJQC</v>
      </c>
      <c r="L683" t="str">
        <f>"UPYHYTSWU"</f>
        <v>UPYHYTSWU</v>
      </c>
      <c r="M683">
        <v>3800</v>
      </c>
      <c r="N683">
        <v>310518004</v>
      </c>
      <c r="O683" t="str">
        <f t="shared" si="228"/>
        <v>每牙</v>
      </c>
      <c r="P683" t="str">
        <f t="shared" si="222"/>
        <v>治疗费</v>
      </c>
    </row>
    <row r="684" spans="1:16">
      <c r="A684" t="str">
        <f>"美容义齿（计算机全瓷3）"</f>
        <v>美容义齿（计算机全瓷3）</v>
      </c>
      <c r="B684" t="str">
        <f>"310518004-49"</f>
        <v>310518004-49</v>
      </c>
      <c r="C684" t="str">
        <f t="shared" si="225"/>
        <v>治疗</v>
      </c>
      <c r="D684" t="str">
        <f t="shared" si="226"/>
        <v>003105180040000</v>
      </c>
      <c r="G684">
        <v>2500</v>
      </c>
      <c r="I684" t="str">
        <f t="shared" si="229"/>
        <v>每牙</v>
      </c>
      <c r="K684" t="str">
        <f>"MRYCJSJQC3"</f>
        <v>MRYCJSJQC3</v>
      </c>
      <c r="L684" t="str">
        <f>"UPYHYTSWU3"</f>
        <v>UPYHYTSWU3</v>
      </c>
      <c r="M684">
        <v>3000</v>
      </c>
      <c r="N684">
        <v>310518004</v>
      </c>
      <c r="O684" t="str">
        <f t="shared" si="228"/>
        <v>每牙</v>
      </c>
      <c r="P684" t="str">
        <f>"治疗费(含材料费)"</f>
        <v>治疗费(含材料费)</v>
      </c>
    </row>
    <row r="685" spans="1:16">
      <c r="A685" t="str">
        <f>"美容义齿(隐形义齿增加一牙加收)"</f>
        <v>美容义齿(隐形义齿增加一牙加收)</v>
      </c>
      <c r="B685" t="str">
        <f>"310518004-5"</f>
        <v>310518004-5</v>
      </c>
      <c r="C685" t="str">
        <f t="shared" si="225"/>
        <v>治疗</v>
      </c>
      <c r="D685" t="str">
        <f t="shared" si="226"/>
        <v>003105180040000</v>
      </c>
      <c r="G685">
        <v>50</v>
      </c>
      <c r="I685" t="str">
        <f t="shared" si="229"/>
        <v>每牙</v>
      </c>
      <c r="K685" t="str">
        <f>"MRYCYXYCZJYYJS"</f>
        <v>MRYCYXYCZJYYJS</v>
      </c>
      <c r="L685" t="str">
        <f>"UPYHBGYHFLGALN"</f>
        <v>UPYHBGYHFLGALN</v>
      </c>
      <c r="M685">
        <v>100</v>
      </c>
      <c r="N685">
        <v>310518004</v>
      </c>
      <c r="O685" t="str">
        <f t="shared" si="228"/>
        <v>每牙</v>
      </c>
      <c r="P685" t="str">
        <f t="shared" ref="P685:P693" si="230">"治疗费"</f>
        <v>治疗费</v>
      </c>
    </row>
    <row r="686" spans="1:16">
      <c r="A686" t="str">
        <f>"美容义齿（纯钛烤瓷冠）"</f>
        <v>美容义齿（纯钛烤瓷冠）</v>
      </c>
      <c r="B686" t="str">
        <f>"310518004-6"</f>
        <v>310518004-6</v>
      </c>
      <c r="C686" t="str">
        <f t="shared" si="225"/>
        <v>治疗</v>
      </c>
      <c r="D686" t="str">
        <f t="shared" si="226"/>
        <v>003105180040000</v>
      </c>
      <c r="G686">
        <v>1500</v>
      </c>
      <c r="I686" t="str">
        <f t="shared" ref="I686:I689" si="231">"/"</f>
        <v>/</v>
      </c>
      <c r="K686" t="str">
        <f>"MRYCCKCG"</f>
        <v>MRYCCKCG</v>
      </c>
      <c r="L686" t="str">
        <f>"UPYHXQOUP"</f>
        <v>UPYHXQOUP</v>
      </c>
      <c r="M686">
        <v>1500</v>
      </c>
      <c r="N686">
        <v>310518004</v>
      </c>
      <c r="O686" t="str">
        <f t="shared" si="228"/>
        <v>每牙</v>
      </c>
      <c r="P686" t="str">
        <f t="shared" si="230"/>
        <v>治疗费</v>
      </c>
    </row>
    <row r="687" spans="1:16">
      <c r="A687" t="str">
        <f>"美容义齿（贱金属烧烤瓷冠）"</f>
        <v>美容义齿（贱金属烧烤瓷冠）</v>
      </c>
      <c r="B687" t="str">
        <f>"310518004-7"</f>
        <v>310518004-7</v>
      </c>
      <c r="C687" t="str">
        <f t="shared" si="225"/>
        <v>治疗</v>
      </c>
      <c r="D687" t="str">
        <f t="shared" si="226"/>
        <v>003105180040000</v>
      </c>
      <c r="G687">
        <v>400</v>
      </c>
      <c r="I687" t="str">
        <f t="shared" si="231"/>
        <v>/</v>
      </c>
      <c r="K687" t="str">
        <f>"MRYCJJSSKCG"</f>
        <v>MRYCJJSSKCG</v>
      </c>
      <c r="L687" t="str">
        <f>"UPYHMQNOOUP"</f>
        <v>UPYHMQNOOUP</v>
      </c>
      <c r="M687">
        <v>900</v>
      </c>
      <c r="N687">
        <v>310518004</v>
      </c>
      <c r="O687" t="str">
        <f t="shared" si="228"/>
        <v>每牙</v>
      </c>
      <c r="P687" t="str">
        <f t="shared" si="230"/>
        <v>治疗费</v>
      </c>
    </row>
    <row r="688" spans="1:16">
      <c r="A688" t="str">
        <f>"美容义齿(隐形义齿)"</f>
        <v>美容义齿(隐形义齿)</v>
      </c>
      <c r="B688" t="str">
        <f>"310518004-8"</f>
        <v>310518004-8</v>
      </c>
      <c r="C688" t="str">
        <f t="shared" si="225"/>
        <v>治疗</v>
      </c>
      <c r="D688" t="str">
        <f t="shared" si="226"/>
        <v>003105180040000</v>
      </c>
      <c r="G688">
        <v>350</v>
      </c>
      <c r="I688" t="str">
        <f t="shared" si="231"/>
        <v>/</v>
      </c>
      <c r="K688" t="str">
        <f>"MRYCYXYC"</f>
        <v>MRYCYXYC</v>
      </c>
      <c r="L688" t="str">
        <f>"UPYHBGYH"</f>
        <v>UPYHBGYH</v>
      </c>
      <c r="M688">
        <v>350</v>
      </c>
      <c r="N688">
        <v>310518004</v>
      </c>
      <c r="O688" t="str">
        <f t="shared" si="228"/>
        <v>每牙</v>
      </c>
      <c r="P688" t="str">
        <f t="shared" si="230"/>
        <v>治疗费</v>
      </c>
    </row>
    <row r="689" spans="1:16">
      <c r="A689" t="str">
        <f>"美容义齿（纯钛大支架）"</f>
        <v>美容义齿（纯钛大支架）</v>
      </c>
      <c r="B689" t="str">
        <f>"310518004-9"</f>
        <v>310518004-9</v>
      </c>
      <c r="C689" t="str">
        <f t="shared" si="225"/>
        <v>治疗</v>
      </c>
      <c r="D689" t="str">
        <f t="shared" si="226"/>
        <v>003105180040000</v>
      </c>
      <c r="G689">
        <v>3500</v>
      </c>
      <c r="I689" t="str">
        <f t="shared" si="231"/>
        <v>/</v>
      </c>
      <c r="K689" t="str">
        <f>"MRYCCDZJ"</f>
        <v>MRYCCDZJ</v>
      </c>
      <c r="L689" t="str">
        <f>"UPYHXQDFL"</f>
        <v>UPYHXQDFL</v>
      </c>
      <c r="M689">
        <v>3500</v>
      </c>
      <c r="N689">
        <v>310518004</v>
      </c>
      <c r="O689" t="str">
        <f>"每件"</f>
        <v>每件</v>
      </c>
      <c r="P689" t="str">
        <f t="shared" si="230"/>
        <v>治疗费</v>
      </c>
    </row>
    <row r="690" spans="1:16">
      <c r="A690" t="str">
        <f>"拆冠桥（锤造冠）"</f>
        <v>拆冠桥（锤造冠）</v>
      </c>
      <c r="B690">
        <v>310519001</v>
      </c>
      <c r="C690" t="str">
        <f t="shared" ref="C690:C695" si="232">"其他"</f>
        <v>其他</v>
      </c>
      <c r="D690" t="str">
        <f>"003105190010000"</f>
        <v>003105190010000</v>
      </c>
      <c r="G690">
        <v>12</v>
      </c>
      <c r="I690" t="str">
        <f>"每牙"</f>
        <v>每牙</v>
      </c>
      <c r="K690" t="str">
        <f>"CGQ（CZG）"</f>
        <v>CGQ（CZG）</v>
      </c>
      <c r="L690" t="str">
        <f>"RPSQTP"</f>
        <v>RPSQTP</v>
      </c>
      <c r="M690">
        <v>12</v>
      </c>
      <c r="N690">
        <v>310519001</v>
      </c>
      <c r="O690" t="str">
        <f>"每牙"</f>
        <v>每牙</v>
      </c>
      <c r="P690" t="str">
        <f t="shared" si="230"/>
        <v>治疗费</v>
      </c>
    </row>
    <row r="691" spans="1:16">
      <c r="A691" t="str">
        <f>"拆冠桥（铸造冠）"</f>
        <v>拆冠桥（铸造冠）</v>
      </c>
      <c r="B691" t="str">
        <f>"310519001-a"</f>
        <v>310519001-a</v>
      </c>
      <c r="C691" t="str">
        <f t="shared" si="232"/>
        <v>其他</v>
      </c>
      <c r="D691" t="str">
        <f>"003105190010000"</f>
        <v>003105190010000</v>
      </c>
      <c r="G691">
        <v>20</v>
      </c>
      <c r="I691" t="str">
        <f>"每牙"</f>
        <v>每牙</v>
      </c>
      <c r="K691" t="str">
        <f>"CGQ（ZZG）"</f>
        <v>CGQ（ZZG）</v>
      </c>
      <c r="L691" t="str">
        <f>"RPSQTP"</f>
        <v>RPSQTP</v>
      </c>
      <c r="M691">
        <v>20</v>
      </c>
      <c r="N691" t="str">
        <f>"310519001-a"</f>
        <v>310519001-a</v>
      </c>
      <c r="O691" t="str">
        <f>"每牙"</f>
        <v>每牙</v>
      </c>
      <c r="P691" t="str">
        <f t="shared" si="230"/>
        <v>治疗费</v>
      </c>
    </row>
    <row r="692" spans="1:16">
      <c r="A692" t="str">
        <f>"增加铸造基托"</f>
        <v>增加铸造基托</v>
      </c>
      <c r="B692">
        <v>310519014</v>
      </c>
      <c r="C692" t="str">
        <f t="shared" si="232"/>
        <v>其他</v>
      </c>
      <c r="D692" t="str">
        <f>"003105190140000"</f>
        <v>003105190140000</v>
      </c>
      <c r="G692">
        <v>26</v>
      </c>
      <c r="I692" t="str">
        <f>"5＋5"</f>
        <v>5＋5</v>
      </c>
      <c r="K692" t="str">
        <f>"ZJZZJT"</f>
        <v>ZJZZJT</v>
      </c>
      <c r="L692" t="str">
        <f>"FLQTAR"</f>
        <v>FLQTAR</v>
      </c>
      <c r="M692">
        <v>26</v>
      </c>
      <c r="N692">
        <v>310519014</v>
      </c>
      <c r="O692" t="str">
        <f>"个"</f>
        <v>个</v>
      </c>
      <c r="P692" t="str">
        <f t="shared" si="230"/>
        <v>治疗费</v>
      </c>
    </row>
    <row r="693" spans="1:16">
      <c r="A693" t="str">
        <f>"无创辅助通气"</f>
        <v>无创辅助通气</v>
      </c>
      <c r="B693">
        <v>310603002</v>
      </c>
      <c r="C693" t="str">
        <f t="shared" si="232"/>
        <v>其他</v>
      </c>
      <c r="G693">
        <v>15</v>
      </c>
      <c r="I693" t="str">
        <f t="shared" ref="I693:I695" si="233">"小时"</f>
        <v>小时</v>
      </c>
      <c r="K693" t="str">
        <f>"WCFZTQ"</f>
        <v>WCFZTQ</v>
      </c>
      <c r="L693" t="str">
        <f>"FWLECR"</f>
        <v>FWLECR</v>
      </c>
      <c r="M693">
        <v>15</v>
      </c>
      <c r="N693">
        <v>310603002</v>
      </c>
      <c r="O693" t="str">
        <f t="shared" ref="O693:O695" si="234">"小时"</f>
        <v>小时</v>
      </c>
      <c r="P693" t="str">
        <f t="shared" si="230"/>
        <v>治疗费</v>
      </c>
    </row>
    <row r="694" spans="1:16">
      <c r="A694" t="str">
        <f>"指脉氧监测"</f>
        <v>指脉氧监测</v>
      </c>
      <c r="B694">
        <v>310701027</v>
      </c>
      <c r="C694" t="str">
        <f t="shared" si="232"/>
        <v>其他</v>
      </c>
      <c r="D694" t="str">
        <f>"003107010270000"</f>
        <v>003107010270000</v>
      </c>
      <c r="G694">
        <v>2</v>
      </c>
      <c r="I694" t="str">
        <f t="shared" si="233"/>
        <v>小时</v>
      </c>
      <c r="K694" t="str">
        <f>"ZMYJC"</f>
        <v>ZMYJC</v>
      </c>
      <c r="L694" t="str">
        <f>"RERJI"</f>
        <v>RERJI</v>
      </c>
      <c r="M694">
        <v>2.4</v>
      </c>
      <c r="N694">
        <v>310701027</v>
      </c>
      <c r="O694" t="str">
        <f t="shared" si="234"/>
        <v>小时</v>
      </c>
      <c r="P694" t="str">
        <f>"检查费"</f>
        <v>检查费</v>
      </c>
    </row>
    <row r="695" spans="1:16">
      <c r="A695" t="str">
        <f>"血氧饱和度监测"</f>
        <v>血氧饱和度监测</v>
      </c>
      <c r="B695">
        <v>310701028</v>
      </c>
      <c r="C695" t="str">
        <f t="shared" si="232"/>
        <v>其他</v>
      </c>
      <c r="D695" t="str">
        <f>"003107010280000"</f>
        <v>003107010280000</v>
      </c>
      <c r="G695">
        <v>2.4</v>
      </c>
      <c r="I695" t="str">
        <f t="shared" si="233"/>
        <v>小时</v>
      </c>
      <c r="K695" t="str">
        <f>"XYBHDJC"</f>
        <v>XYBHDJC</v>
      </c>
      <c r="L695" t="str">
        <f>"TRQTYJI"</f>
        <v>TRQTYJI</v>
      </c>
      <c r="M695">
        <v>2.4</v>
      </c>
      <c r="N695">
        <v>310701028</v>
      </c>
      <c r="O695" t="str">
        <f t="shared" si="234"/>
        <v>小时</v>
      </c>
      <c r="P695" t="str">
        <f>"治疗费"</f>
        <v>治疗费</v>
      </c>
    </row>
    <row r="696" spans="1:16">
      <c r="A696" t="str">
        <f>"盐酸丁卡因内镜润滑剂"</f>
        <v>盐酸丁卡因内镜润滑剂</v>
      </c>
      <c r="B696" t="str">
        <f>"3109-5"</f>
        <v>3109-5</v>
      </c>
      <c r="C696" t="str">
        <f>"材料"</f>
        <v>材料</v>
      </c>
      <c r="G696">
        <v>34.44</v>
      </c>
      <c r="I696" t="str">
        <f>"7ml"</f>
        <v>7ml</v>
      </c>
      <c r="K696" t="str">
        <f>"YSDKYNJRHJ"</f>
        <v>YSDKYNJRHJ</v>
      </c>
      <c r="L696" t="str">
        <f>"FSSHLMQIIY"</f>
        <v>FSSHLMQIIY</v>
      </c>
      <c r="M696">
        <v>34.44</v>
      </c>
      <c r="O696" t="str">
        <f>"支"</f>
        <v>支</v>
      </c>
      <c r="P696" t="str">
        <f>"材料费"</f>
        <v>材料费</v>
      </c>
    </row>
    <row r="697" spans="1:16">
      <c r="A697" t="str">
        <f>"电子纤维内镜加收"</f>
        <v>电子纤维内镜加收</v>
      </c>
      <c r="B697" t="str">
        <f>"3109-a"</f>
        <v>3109-a</v>
      </c>
      <c r="C697" t="str">
        <f t="shared" ref="C697:C699" si="235">"其他"</f>
        <v>其他</v>
      </c>
      <c r="D697" t="str">
        <f>"323300000010000"</f>
        <v>323300000010000</v>
      </c>
      <c r="G697">
        <v>100</v>
      </c>
      <c r="I697" t="str">
        <f t="shared" ref="I697:I699" si="236">"次"</f>
        <v>次</v>
      </c>
      <c r="K697" t="str">
        <f>"DZXWNJJS"</f>
        <v>DZXWNJJS</v>
      </c>
      <c r="L697" t="str">
        <f>"JBXXMQLN"</f>
        <v>JBXXMQLN</v>
      </c>
      <c r="M697">
        <v>100</v>
      </c>
      <c r="N697" t="str">
        <f>"3109-a"</f>
        <v>3109-a</v>
      </c>
      <c r="O697" t="str">
        <f t="shared" ref="O697:O699" si="237">"次"</f>
        <v>次</v>
      </c>
      <c r="P697" t="str">
        <f t="shared" ref="P697:P701" si="238">"胃镜费"</f>
        <v>胃镜费</v>
      </c>
    </row>
    <row r="698" spans="1:16">
      <c r="A698" t="str">
        <f>"纤维食管镜检查"</f>
        <v>纤维食管镜检查</v>
      </c>
      <c r="B698">
        <v>310901004</v>
      </c>
      <c r="C698" t="str">
        <f t="shared" si="235"/>
        <v>其他</v>
      </c>
      <c r="D698" t="str">
        <f>"003109010040000"</f>
        <v>003109010040000</v>
      </c>
      <c r="G698">
        <v>65</v>
      </c>
      <c r="I698" t="str">
        <f t="shared" si="236"/>
        <v>次</v>
      </c>
      <c r="K698" t="str">
        <f>"XWSGJJC"</f>
        <v>XWSGJJC</v>
      </c>
      <c r="L698" t="str">
        <f>"XXWTQSS"</f>
        <v>XXWTQSS</v>
      </c>
      <c r="M698">
        <v>65</v>
      </c>
      <c r="N698">
        <v>310901004</v>
      </c>
      <c r="O698" t="str">
        <f t="shared" si="237"/>
        <v>次</v>
      </c>
      <c r="P698" t="str">
        <f>"检查费"</f>
        <v>检查费</v>
      </c>
    </row>
    <row r="699" spans="1:16">
      <c r="A699" t="str">
        <f>"纤维胃十二指肠镜检查"</f>
        <v>纤维胃十二指肠镜检查</v>
      </c>
      <c r="B699">
        <v>310902005</v>
      </c>
      <c r="C699" t="str">
        <f t="shared" si="235"/>
        <v>其他</v>
      </c>
      <c r="D699" t="str">
        <f>"003109020050000"</f>
        <v>003109020050000</v>
      </c>
      <c r="G699">
        <v>145</v>
      </c>
      <c r="I699" t="str">
        <f t="shared" si="236"/>
        <v>次</v>
      </c>
      <c r="K699" t="str">
        <f>"XWWSEZCJJC"</f>
        <v>XWWSEZCJJC</v>
      </c>
      <c r="L699" t="str">
        <f>"XXLFFREQSS"</f>
        <v>XXLFFREQSS</v>
      </c>
      <c r="M699">
        <v>145</v>
      </c>
      <c r="N699">
        <v>310902005</v>
      </c>
      <c r="O699" t="str">
        <f t="shared" si="237"/>
        <v>次</v>
      </c>
      <c r="P699" t="str">
        <f t="shared" si="238"/>
        <v>胃镜费</v>
      </c>
    </row>
    <row r="700" spans="1:16">
      <c r="A700" t="str">
        <f>"一次性活检钳"</f>
        <v>一次性活检钳</v>
      </c>
      <c r="B700" t="str">
        <f>"310902005-1"</f>
        <v>310902005-1</v>
      </c>
      <c r="C700" t="str">
        <f>"材料"</f>
        <v>材料</v>
      </c>
      <c r="D700" t="str">
        <f>"C01022600700005049370000005"</f>
        <v>C01022600700005049370000005</v>
      </c>
      <c r="G700">
        <v>49</v>
      </c>
      <c r="I700" t="str">
        <f>"MTN-HT-J"</f>
        <v>MTN-HT-J</v>
      </c>
      <c r="K700" t="str">
        <f>"YCXHJQ"</f>
        <v>YCXHJQ</v>
      </c>
      <c r="L700" t="str">
        <f>"GUNISQ"</f>
        <v>GUNISQ</v>
      </c>
      <c r="M700">
        <v>83</v>
      </c>
      <c r="N700" t="str">
        <f>"310902005-1"</f>
        <v>310902005-1</v>
      </c>
      <c r="O700" t="str">
        <f>"把"</f>
        <v>把</v>
      </c>
      <c r="P700" t="str">
        <f>"材料费"</f>
        <v>材料费</v>
      </c>
    </row>
    <row r="701" spans="1:16">
      <c r="A701" t="str">
        <f>"经胃镜特殊治疗（电凝电切法）"</f>
        <v>经胃镜特殊治疗（电凝电切法）</v>
      </c>
      <c r="B701">
        <v>310902006</v>
      </c>
      <c r="C701" t="str">
        <f t="shared" ref="C701:C705" si="239">"其他"</f>
        <v>其他</v>
      </c>
      <c r="D701" t="str">
        <f>"003109020060000"</f>
        <v>003109020060000</v>
      </c>
      <c r="G701">
        <v>283</v>
      </c>
      <c r="I701" t="str">
        <f t="shared" ref="I701:I708" si="240">"次"</f>
        <v>次</v>
      </c>
      <c r="K701" t="str">
        <f>"JWJTSZLDNDQF"</f>
        <v>JWJTSZLDNDQF</v>
      </c>
      <c r="L701" t="str">
        <f>"XLQTGIUJUJAI"</f>
        <v>XLQTGIUJUJAI</v>
      </c>
      <c r="M701">
        <v>283</v>
      </c>
      <c r="N701">
        <v>310902006</v>
      </c>
      <c r="O701" t="str">
        <f t="shared" ref="O701:O709" si="241">"次"</f>
        <v>次</v>
      </c>
      <c r="P701" t="str">
        <f t="shared" si="238"/>
        <v>胃镜费</v>
      </c>
    </row>
    <row r="702" spans="1:16">
      <c r="A702" t="str">
        <f>"一次性使用圈套器"</f>
        <v>一次性使用圈套器</v>
      </c>
      <c r="B702" t="str">
        <f>"310902006-1"</f>
        <v>310902006-1</v>
      </c>
      <c r="C702" t="str">
        <f>"材料"</f>
        <v>材料</v>
      </c>
      <c r="G702">
        <v>179</v>
      </c>
      <c r="I702" t="s">
        <v>18</v>
      </c>
      <c r="K702" t="str">
        <f>"YCXSYQTQ"</f>
        <v>YCXSYQTQ</v>
      </c>
      <c r="L702" t="str">
        <f>"GUNWELDK"</f>
        <v>GUNWELDK</v>
      </c>
      <c r="M702">
        <v>230</v>
      </c>
      <c r="O702" t="str">
        <f>"个"</f>
        <v>个</v>
      </c>
      <c r="P702" t="str">
        <f>"材料费"</f>
        <v>材料费</v>
      </c>
    </row>
    <row r="703" spans="1:16">
      <c r="A703" t="str">
        <f>"经胃镜特殊治疗（从第二个肿物或出血点起，每增加一个肿物或出血点加收）"</f>
        <v>经胃镜特殊治疗（从第二个肿物或出血点起，每增加一个肿物或出血点加收）</v>
      </c>
      <c r="B703" t="str">
        <f>"310902006-c"</f>
        <v>310902006-c</v>
      </c>
      <c r="C703" t="str">
        <f>"治疗"</f>
        <v>治疗</v>
      </c>
      <c r="D703" t="str">
        <f>"003109020060000"</f>
        <v>003109020060000</v>
      </c>
      <c r="G703">
        <v>135</v>
      </c>
      <c r="I703" t="str">
        <f t="shared" si="240"/>
        <v>次</v>
      </c>
      <c r="K703" t="str">
        <f>"JWJTSZLCDEGZWHCX"</f>
        <v>JWJTSZLCDEGZWHCX</v>
      </c>
      <c r="L703" t="str">
        <f>"XLQTGIUWTFWETABT"</f>
        <v>XLQTGIUWTFWETABT</v>
      </c>
      <c r="M703">
        <v>135</v>
      </c>
      <c r="N703" t="str">
        <f>"310902006-c"</f>
        <v>310902006-c</v>
      </c>
      <c r="O703" t="str">
        <f t="shared" si="241"/>
        <v>次</v>
      </c>
      <c r="P703" t="str">
        <f t="shared" ref="P703:P709" si="242">"治疗费"</f>
        <v>治疗费</v>
      </c>
    </row>
    <row r="704" spans="1:16">
      <c r="A704" t="str">
        <f>"纤维结肠镜检查"</f>
        <v>纤维结肠镜检查</v>
      </c>
      <c r="B704">
        <v>310903005</v>
      </c>
      <c r="C704" t="str">
        <f t="shared" si="239"/>
        <v>其他</v>
      </c>
      <c r="D704" t="str">
        <f>"003109030050000"</f>
        <v>003109030050000</v>
      </c>
      <c r="G704">
        <v>180</v>
      </c>
      <c r="I704" t="str">
        <f t="shared" si="240"/>
        <v>次</v>
      </c>
      <c r="K704" t="str">
        <f>"XWJCJJC"</f>
        <v>XWJCJJC</v>
      </c>
      <c r="L704" t="str">
        <f>"XXXEQSS"</f>
        <v>XXXEQSS</v>
      </c>
      <c r="M704">
        <v>180</v>
      </c>
      <c r="N704">
        <v>310903005</v>
      </c>
      <c r="O704" t="str">
        <f t="shared" si="241"/>
        <v>次</v>
      </c>
      <c r="P704" t="str">
        <f>"胃镜费"</f>
        <v>胃镜费</v>
      </c>
    </row>
    <row r="705" spans="1:16">
      <c r="A705" t="str">
        <f>"经肠镜特殊治疗电凝电切法"</f>
        <v>经肠镜特殊治疗电凝电切法</v>
      </c>
      <c r="B705">
        <v>310903010</v>
      </c>
      <c r="C705" t="str">
        <f t="shared" si="239"/>
        <v>其他</v>
      </c>
      <c r="G705">
        <v>390</v>
      </c>
      <c r="I705" t="str">
        <f t="shared" si="240"/>
        <v>次</v>
      </c>
      <c r="K705" t="str">
        <f>"JCJTSZLDNDQF"</f>
        <v>JCJTSZLDNDQF</v>
      </c>
      <c r="L705" t="str">
        <f>"XEQTGIUJUJAI"</f>
        <v>XEQTGIUJUJAI</v>
      </c>
      <c r="M705">
        <v>390</v>
      </c>
      <c r="N705">
        <v>310903010</v>
      </c>
      <c r="O705" t="str">
        <f t="shared" si="241"/>
        <v>次</v>
      </c>
      <c r="P705" t="str">
        <f>"胃镜费"</f>
        <v>胃镜费</v>
      </c>
    </row>
    <row r="706" spans="1:16">
      <c r="A706" t="str">
        <f>"经肠镜特殊治疗（从第二个肿物或出血点起，每增加一个肿物或出血点加收）"</f>
        <v>经肠镜特殊治疗（从第二个肿物或出血点起，每增加一个肿物或出血点加收）</v>
      </c>
      <c r="B706" t="str">
        <f>"310903010-c"</f>
        <v>310903010-c</v>
      </c>
      <c r="C706" t="str">
        <f>"治疗"</f>
        <v>治疗</v>
      </c>
      <c r="G706">
        <v>135</v>
      </c>
      <c r="I706" t="str">
        <f t="shared" si="240"/>
        <v>次</v>
      </c>
      <c r="K706" t="str">
        <f>"JCJTSZLCDEGZWHCX"</f>
        <v>JCJTSZLCDEGZWHCX</v>
      </c>
      <c r="L706" t="str">
        <f>"XEQTGIUWTFWETABT"</f>
        <v>XEQTGIUWTFWETABT</v>
      </c>
      <c r="M706">
        <v>135</v>
      </c>
      <c r="N706" t="str">
        <f>"310903010-c"</f>
        <v>310903010-c</v>
      </c>
      <c r="O706" t="str">
        <f t="shared" si="241"/>
        <v>次</v>
      </c>
      <c r="P706" t="str">
        <f t="shared" si="242"/>
        <v>治疗费</v>
      </c>
    </row>
    <row r="707" spans="1:16">
      <c r="A707" t="str">
        <f>"肛门指检"</f>
        <v>肛门指检</v>
      </c>
      <c r="B707">
        <v>310904004</v>
      </c>
      <c r="C707" t="str">
        <f t="shared" ref="C707:C715" si="243">"其他"</f>
        <v>其他</v>
      </c>
      <c r="D707" t="str">
        <f>"003109040040000"</f>
        <v>003109040040000</v>
      </c>
      <c r="G707">
        <v>3.9</v>
      </c>
      <c r="I707" t="str">
        <f t="shared" si="240"/>
        <v>次</v>
      </c>
      <c r="K707" t="str">
        <f>"GMZJ"</f>
        <v>GMZJ</v>
      </c>
      <c r="L707" t="str">
        <f>"EURS"</f>
        <v>EURS</v>
      </c>
      <c r="M707">
        <v>4</v>
      </c>
      <c r="N707">
        <v>310904004</v>
      </c>
      <c r="O707" t="str">
        <f t="shared" si="241"/>
        <v>次</v>
      </c>
      <c r="P707" t="str">
        <f>"检查费"</f>
        <v>检查费</v>
      </c>
    </row>
    <row r="708" spans="1:16">
      <c r="A708" t="str">
        <f>"盆底表面肌电评估"</f>
        <v>盆底表面肌电评估</v>
      </c>
      <c r="B708" t="str">
        <f>"310904005-a"</f>
        <v>310904005-a</v>
      </c>
      <c r="C708" t="str">
        <f t="shared" si="243"/>
        <v>其他</v>
      </c>
      <c r="D708" t="str">
        <f>"003109040050000"</f>
        <v>003109040050000</v>
      </c>
      <c r="G708">
        <v>90</v>
      </c>
      <c r="I708" t="str">
        <f t="shared" si="240"/>
        <v>次</v>
      </c>
      <c r="K708" t="str">
        <f>"PDBMJDPG"</f>
        <v>PDBMJDPG</v>
      </c>
      <c r="L708" t="str">
        <f>"WYGDEJYW"</f>
        <v>WYGDEJYW</v>
      </c>
      <c r="M708">
        <v>90</v>
      </c>
      <c r="N708" t="str">
        <f>"310904005-a"</f>
        <v>310904005-a</v>
      </c>
      <c r="O708" t="str">
        <f t="shared" si="241"/>
        <v>次</v>
      </c>
      <c r="P708" t="str">
        <f t="shared" si="242"/>
        <v>治疗费</v>
      </c>
    </row>
    <row r="709" spans="1:16">
      <c r="A709" t="str">
        <f>"慢性肝病纤维化测定"</f>
        <v>慢性肝病纤维化测定</v>
      </c>
      <c r="B709">
        <v>310905027</v>
      </c>
      <c r="C709" t="str">
        <f>"治疗"</f>
        <v>治疗</v>
      </c>
      <c r="G709">
        <v>100</v>
      </c>
      <c r="I709" t="str">
        <f>"-"</f>
        <v>-</v>
      </c>
      <c r="K709" t="str">
        <f>"MXGBXWHCD"</f>
        <v>MXGBXWHCD</v>
      </c>
      <c r="L709" t="str">
        <f>"NNEUXXWIP"</f>
        <v>NNEUXXWIP</v>
      </c>
      <c r="M709">
        <v>100</v>
      </c>
      <c r="N709">
        <v>310905027</v>
      </c>
      <c r="O709" t="str">
        <f t="shared" si="241"/>
        <v>次</v>
      </c>
      <c r="P709" t="str">
        <f t="shared" si="242"/>
        <v>治疗费</v>
      </c>
    </row>
    <row r="710" spans="1:16">
      <c r="A710" t="str">
        <f>"套装式一次性宫腔组织吸引管"</f>
        <v>套装式一次性宫腔组织吸引管</v>
      </c>
      <c r="B710" t="str">
        <f>"3111201-2"</f>
        <v>3111201-2</v>
      </c>
      <c r="C710" t="str">
        <f>"材料"</f>
        <v>材料</v>
      </c>
      <c r="G710">
        <v>73.78</v>
      </c>
      <c r="I710" t="str">
        <f>"TZ/5"</f>
        <v>TZ/5</v>
      </c>
      <c r="K710" t="str">
        <f>"TZSYCXGQZZXYG"</f>
        <v>TZSYCXGQZZXYG</v>
      </c>
      <c r="L710" t="str">
        <f>"DUAGUNPEXXKXT"</f>
        <v>DUAGUNPEXXKXT</v>
      </c>
      <c r="M710">
        <v>80</v>
      </c>
      <c r="O710" t="str">
        <f>"套"</f>
        <v>套</v>
      </c>
      <c r="P710" t="str">
        <f>"材料费"</f>
        <v>材料费</v>
      </c>
    </row>
    <row r="711" spans="1:16">
      <c r="A711" t="str">
        <f>"一次性宫腔组织吸引管"</f>
        <v>一次性宫腔组织吸引管</v>
      </c>
      <c r="B711" t="str">
        <f>"311201-2-1"</f>
        <v>311201-2-1</v>
      </c>
      <c r="C711" t="str">
        <f>"材料"</f>
        <v>材料</v>
      </c>
      <c r="D711" t="str">
        <f>"C14190119700000090030000003"</f>
        <v>C14190119700000090030000003</v>
      </c>
      <c r="G711">
        <v>50</v>
      </c>
      <c r="I711" t="str">
        <f>"C3.1/30-IS"</f>
        <v>C3.1/30-IS</v>
      </c>
      <c r="K711" t="str">
        <f>"YCXGQZZXYG"</f>
        <v>YCXGQZZXYG</v>
      </c>
      <c r="L711" t="str">
        <f>"GUNPEXXKXT"</f>
        <v>GUNPEXXKXT</v>
      </c>
      <c r="M711">
        <v>50</v>
      </c>
      <c r="N711" t="str">
        <f>"311201-2"</f>
        <v>311201-2</v>
      </c>
      <c r="O711" t="str">
        <f>"个"</f>
        <v>个</v>
      </c>
      <c r="P711" t="str">
        <f>"材料费"</f>
        <v>材料费</v>
      </c>
    </row>
    <row r="712" spans="1:16">
      <c r="A712" t="str">
        <f>"外阴活检术"</f>
        <v>外阴活检术</v>
      </c>
      <c r="B712">
        <v>311201002</v>
      </c>
      <c r="C712" t="str">
        <f t="shared" si="243"/>
        <v>其他</v>
      </c>
      <c r="D712" t="str">
        <f>"003112010020000"</f>
        <v>003112010020000</v>
      </c>
      <c r="G712">
        <v>26</v>
      </c>
      <c r="I712" t="str">
        <f>"-"</f>
        <v>-</v>
      </c>
      <c r="K712" t="str">
        <f>"WYHJS"</f>
        <v>WYHJS</v>
      </c>
      <c r="L712" t="str">
        <f>"QBISS"</f>
        <v>QBISS</v>
      </c>
      <c r="M712">
        <v>26</v>
      </c>
      <c r="N712">
        <v>311201002</v>
      </c>
      <c r="O712" t="str">
        <f t="shared" ref="O712:O715" si="244">"次"</f>
        <v>次</v>
      </c>
      <c r="P712" t="str">
        <f t="shared" ref="P712:P715" si="245">"治疗费"</f>
        <v>治疗费</v>
      </c>
    </row>
    <row r="713" spans="1:16">
      <c r="A713" t="str">
        <f>"外阴病光照射治疗"</f>
        <v>外阴病光照射治疗</v>
      </c>
      <c r="B713">
        <v>311201003</v>
      </c>
      <c r="C713" t="str">
        <f t="shared" si="243"/>
        <v>其他</v>
      </c>
      <c r="D713" t="str">
        <f>"003112010030000"</f>
        <v>003112010030000</v>
      </c>
      <c r="G713">
        <v>13</v>
      </c>
      <c r="I713" t="str">
        <f t="shared" ref="I713:I715" si="246">"次"</f>
        <v>次</v>
      </c>
      <c r="K713" t="str">
        <f>"WYBGZSZL"</f>
        <v>WYBGZSZL</v>
      </c>
      <c r="L713" t="str">
        <f>"QBUIJTIU"</f>
        <v>QBUIJTIU</v>
      </c>
      <c r="M713">
        <v>13</v>
      </c>
      <c r="N713">
        <v>311201003</v>
      </c>
      <c r="O713" t="str">
        <f t="shared" si="244"/>
        <v>次</v>
      </c>
      <c r="P713" t="str">
        <f t="shared" si="245"/>
        <v>治疗费</v>
      </c>
    </row>
    <row r="714" spans="1:16">
      <c r="A714" t="str">
        <f>"阴道壁活检术"</f>
        <v>阴道壁活检术</v>
      </c>
      <c r="B714">
        <v>311201008</v>
      </c>
      <c r="C714" t="str">
        <f t="shared" si="243"/>
        <v>其他</v>
      </c>
      <c r="D714" t="str">
        <f>"003112010080000"</f>
        <v>003112010080000</v>
      </c>
      <c r="G714">
        <v>39</v>
      </c>
      <c r="I714" t="str">
        <f t="shared" si="246"/>
        <v>次</v>
      </c>
      <c r="K714" t="str">
        <f>"YDBHJS"</f>
        <v>YDBHJS</v>
      </c>
      <c r="L714" t="str">
        <f>"BUNISS"</f>
        <v>BUNISS</v>
      </c>
      <c r="M714">
        <v>39</v>
      </c>
      <c r="N714">
        <v>311201008</v>
      </c>
      <c r="O714" t="str">
        <f t="shared" si="244"/>
        <v>次</v>
      </c>
      <c r="P714" t="str">
        <f t="shared" si="245"/>
        <v>治疗费</v>
      </c>
    </row>
    <row r="715" spans="1:16">
      <c r="A715" t="str">
        <f>"宫腔填塞"</f>
        <v>宫腔填塞</v>
      </c>
      <c r="B715">
        <v>311201019</v>
      </c>
      <c r="C715" t="str">
        <f t="shared" si="243"/>
        <v>其他</v>
      </c>
      <c r="D715" t="str">
        <f>"003112010190000"</f>
        <v>003112010190000</v>
      </c>
      <c r="G715">
        <v>65</v>
      </c>
      <c r="I715" t="str">
        <f t="shared" si="246"/>
        <v>次</v>
      </c>
      <c r="K715" t="str">
        <f>"GQTS"</f>
        <v>GQTS</v>
      </c>
      <c r="L715" t="str">
        <f>"PEFP"</f>
        <v>PEFP</v>
      </c>
      <c r="M715">
        <v>65</v>
      </c>
      <c r="N715">
        <v>311201019</v>
      </c>
      <c r="O715" t="str">
        <f t="shared" si="244"/>
        <v>次</v>
      </c>
      <c r="P715" t="str">
        <f t="shared" si="245"/>
        <v>治疗费</v>
      </c>
    </row>
    <row r="716" spans="1:16">
      <c r="A716" t="str">
        <f>"活性银离子抗菌凝胶（银尔舒）"</f>
        <v>活性银离子抗菌凝胶（银尔舒）</v>
      </c>
      <c r="B716" t="str">
        <f>"311201020-3"</f>
        <v>311201020-3</v>
      </c>
      <c r="C716" t="str">
        <f>"材料"</f>
        <v>材料</v>
      </c>
      <c r="D716" t="str">
        <f>"C17011021607000045650000003"</f>
        <v>C17011021607000045650000003</v>
      </c>
      <c r="G716">
        <v>22.5</v>
      </c>
      <c r="I716" t="str">
        <f>"3g"</f>
        <v>3g</v>
      </c>
      <c r="K716" t="str">
        <f>"HXYLZKJNJYES"</f>
        <v>HXYLZKJNJYES</v>
      </c>
      <c r="L716" t="str">
        <f>"INQYBRAUEQQW"</f>
        <v>INQYBRAUEQQW</v>
      </c>
      <c r="M716">
        <v>24.5</v>
      </c>
      <c r="N716" t="str">
        <f>"311201020-3"</f>
        <v>311201020-3</v>
      </c>
      <c r="O716" t="str">
        <f>"支"</f>
        <v>支</v>
      </c>
      <c r="P716" t="str">
        <f>"材料费"</f>
        <v>材料费</v>
      </c>
    </row>
    <row r="717" spans="1:16">
      <c r="A717" t="str">
        <f>"壳聚糖抗菌膜（妇舒康）"</f>
        <v>壳聚糖抗菌膜（妇舒康）</v>
      </c>
      <c r="B717" t="str">
        <f>"311201020-4-1"</f>
        <v>311201020-4-1</v>
      </c>
      <c r="C717" t="str">
        <f>"材料"</f>
        <v>材料</v>
      </c>
      <c r="D717" t="str">
        <f>"C1701012160100008202"</f>
        <v>C1701012160100008202</v>
      </c>
      <c r="G717">
        <v>22</v>
      </c>
      <c r="I717" t="str">
        <f>"支"</f>
        <v>支</v>
      </c>
      <c r="K717" t="str">
        <f>"KJTKJMFSK"</f>
        <v>KJTKJMFSK</v>
      </c>
      <c r="L717" t="str">
        <f>"FBORAEVWY"</f>
        <v>FBORAEVWY</v>
      </c>
      <c r="M717">
        <v>22</v>
      </c>
      <c r="N717" t="str">
        <f>"311201020-4"</f>
        <v>311201020-4</v>
      </c>
      <c r="O717" t="str">
        <f>"支"</f>
        <v>支</v>
      </c>
      <c r="P717" t="str">
        <f>"材料费"</f>
        <v>材料费</v>
      </c>
    </row>
    <row r="718" spans="1:16">
      <c r="A718" t="str">
        <f>"腹腔穿刺插管盆腔滴注术"</f>
        <v>腹腔穿刺插管盆腔滴注术</v>
      </c>
      <c r="B718">
        <v>311201021</v>
      </c>
      <c r="C718" t="str">
        <f t="shared" ref="C718:C721" si="247">"其他"</f>
        <v>其他</v>
      </c>
      <c r="D718" t="str">
        <f>"003112010210000"</f>
        <v>003112010210000</v>
      </c>
      <c r="G718">
        <v>52</v>
      </c>
      <c r="I718" t="str">
        <f t="shared" ref="I718:I721" si="248">"次"</f>
        <v>次</v>
      </c>
      <c r="K718" t="str">
        <f>"FQCCCGPQDZS"</f>
        <v>FQCCCGPQDZS</v>
      </c>
      <c r="L718" t="str">
        <f>"EEPGRTWEIIS"</f>
        <v>EEPGRTWEIIS</v>
      </c>
      <c r="M718">
        <v>52</v>
      </c>
      <c r="N718">
        <v>311201021</v>
      </c>
      <c r="O718" t="str">
        <f t="shared" ref="O718:O721" si="249">"次"</f>
        <v>次</v>
      </c>
      <c r="P718" t="str">
        <f t="shared" ref="P718:P721" si="250">"治疗费"</f>
        <v>治疗费</v>
      </c>
    </row>
    <row r="719" spans="1:16">
      <c r="A719" t="str">
        <f>"胎心监测"</f>
        <v>胎心监测</v>
      </c>
      <c r="B719">
        <v>311201026</v>
      </c>
      <c r="C719" t="str">
        <f t="shared" si="247"/>
        <v>其他</v>
      </c>
      <c r="D719" t="str">
        <f>"003112010260000"</f>
        <v>003112010260000</v>
      </c>
      <c r="G719">
        <v>26</v>
      </c>
      <c r="I719" t="str">
        <f t="shared" si="248"/>
        <v>次</v>
      </c>
      <c r="K719" t="str">
        <f>"TXJC"</f>
        <v>TXJC</v>
      </c>
      <c r="L719" t="str">
        <f>"ENJI"</f>
        <v>ENJI</v>
      </c>
      <c r="M719">
        <v>26</v>
      </c>
      <c r="N719">
        <v>311201026</v>
      </c>
      <c r="O719" t="str">
        <f t="shared" si="249"/>
        <v>次</v>
      </c>
      <c r="P719" t="str">
        <f>"检查费"</f>
        <v>检查费</v>
      </c>
    </row>
    <row r="720" spans="1:16">
      <c r="A720" t="str">
        <f>"羊膜腔穿刺术"</f>
        <v>羊膜腔穿刺术</v>
      </c>
      <c r="B720">
        <v>311201030</v>
      </c>
      <c r="C720" t="str">
        <f t="shared" si="247"/>
        <v>其他</v>
      </c>
      <c r="D720" t="str">
        <f>"003112010300000"</f>
        <v>003112010300000</v>
      </c>
      <c r="G720">
        <v>85</v>
      </c>
      <c r="I720" t="str">
        <f t="shared" si="248"/>
        <v>次</v>
      </c>
      <c r="K720" t="str">
        <f>"YMQCCS"</f>
        <v>YMQCCS</v>
      </c>
      <c r="L720" t="str">
        <f>"UEEPGS"</f>
        <v>UEEPGS</v>
      </c>
      <c r="M720">
        <v>195</v>
      </c>
      <c r="N720">
        <v>311201030</v>
      </c>
      <c r="O720" t="str">
        <f t="shared" si="249"/>
        <v>次</v>
      </c>
      <c r="P720" t="str">
        <f t="shared" si="250"/>
        <v>治疗费</v>
      </c>
    </row>
    <row r="721" spans="1:16">
      <c r="A721" t="str">
        <f>"输卵管绝育术"</f>
        <v>输卵管绝育术</v>
      </c>
      <c r="B721">
        <v>311201047</v>
      </c>
      <c r="C721" t="str">
        <f t="shared" si="247"/>
        <v>其他</v>
      </c>
      <c r="D721" t="str">
        <f>"003112010470000"</f>
        <v>003112010470000</v>
      </c>
      <c r="G721">
        <v>78</v>
      </c>
      <c r="I721" t="str">
        <f t="shared" si="248"/>
        <v>次</v>
      </c>
      <c r="K721" t="str">
        <f>"SLGJYS"</f>
        <v>SLGJYS</v>
      </c>
      <c r="L721" t="str">
        <f>"LQTXYS"</f>
        <v>LQTXYS</v>
      </c>
      <c r="M721">
        <v>78</v>
      </c>
      <c r="N721">
        <v>311201047</v>
      </c>
      <c r="O721" t="str">
        <f t="shared" si="249"/>
        <v>次</v>
      </c>
      <c r="P721" t="str">
        <f t="shared" si="250"/>
        <v>治疗费</v>
      </c>
    </row>
    <row r="722" spans="1:16">
      <c r="A722" t="str">
        <f>"宫内节育器"</f>
        <v>宫内节育器</v>
      </c>
      <c r="B722" t="str">
        <f>"311201048-1-4"</f>
        <v>311201048-1-4</v>
      </c>
      <c r="C722" t="str">
        <f>"材料"</f>
        <v>材料</v>
      </c>
      <c r="G722">
        <v>168</v>
      </c>
      <c r="I722" t="str">
        <f>"项"</f>
        <v>项</v>
      </c>
      <c r="K722" t="str">
        <f>"GNJYQ"</f>
        <v>GNJYQ</v>
      </c>
      <c r="L722" t="str">
        <f>"PMAYK"</f>
        <v>PMAYK</v>
      </c>
      <c r="M722">
        <v>300</v>
      </c>
      <c r="N722" t="str">
        <f>"311201048-1"</f>
        <v>311201048-1</v>
      </c>
      <c r="O722" t="str">
        <f>"项"</f>
        <v>项</v>
      </c>
      <c r="P722" t="str">
        <f>"材料费"</f>
        <v>材料费</v>
      </c>
    </row>
    <row r="723" spans="1:16">
      <c r="A723" t="str">
        <f>"避孕药皮下埋植术"</f>
        <v>避孕药皮下埋植术</v>
      </c>
      <c r="B723">
        <v>311201049</v>
      </c>
      <c r="C723" t="str">
        <f t="shared" ref="C723:C726" si="251">"其他"</f>
        <v>其他</v>
      </c>
      <c r="D723" t="str">
        <f>"003112010490000"</f>
        <v>003112010490000</v>
      </c>
      <c r="G723">
        <v>130</v>
      </c>
      <c r="I723" t="str">
        <f t="shared" ref="I723:I732" si="252">"次"</f>
        <v>次</v>
      </c>
      <c r="K723" t="str">
        <f>"BYYPXMZS"</f>
        <v>BYYPXMZS</v>
      </c>
      <c r="L723" t="str">
        <f>"NEAHGFSS"</f>
        <v>NEAHGFSS</v>
      </c>
      <c r="M723">
        <v>130</v>
      </c>
      <c r="N723">
        <v>311201049</v>
      </c>
      <c r="O723" t="str">
        <f t="shared" ref="O723:O732" si="253">"次"</f>
        <v>次</v>
      </c>
      <c r="P723" t="str">
        <f t="shared" ref="P723:P726" si="254">"治疗费"</f>
        <v>治疗费</v>
      </c>
    </row>
    <row r="724" spans="1:16">
      <c r="A724" t="str">
        <f>"皮下避孕药取出术"</f>
        <v>皮下避孕药取出术</v>
      </c>
      <c r="B724" t="str">
        <f>"311201049-1"</f>
        <v>311201049-1</v>
      </c>
      <c r="C724" t="str">
        <f t="shared" si="251"/>
        <v>其他</v>
      </c>
      <c r="D724" t="str">
        <f>"003112010490000"</f>
        <v>003112010490000</v>
      </c>
      <c r="G724">
        <v>130</v>
      </c>
      <c r="I724">
        <v>1</v>
      </c>
      <c r="K724" t="str">
        <f>"PXBYYQCS"</f>
        <v>PXBYYQCS</v>
      </c>
      <c r="L724" t="str">
        <f>"HGNEABBS"</f>
        <v>HGNEABBS</v>
      </c>
      <c r="M724">
        <v>130</v>
      </c>
      <c r="N724">
        <v>311201049</v>
      </c>
      <c r="O724" t="str">
        <f t="shared" si="253"/>
        <v>次</v>
      </c>
      <c r="P724" t="str">
        <f t="shared" si="254"/>
        <v>治疗费</v>
      </c>
    </row>
    <row r="725" spans="1:16">
      <c r="A725" t="str">
        <f>"药物性引产处置术"</f>
        <v>药物性引产处置术</v>
      </c>
      <c r="B725">
        <v>311201056</v>
      </c>
      <c r="C725" t="str">
        <f t="shared" si="251"/>
        <v>其他</v>
      </c>
      <c r="D725" t="str">
        <f>"003112010560000"</f>
        <v>003112010560000</v>
      </c>
      <c r="G725">
        <v>104</v>
      </c>
      <c r="I725" t="str">
        <f t="shared" si="252"/>
        <v>次</v>
      </c>
      <c r="K725" t="str">
        <f>"YWXYCCZS"</f>
        <v>YWXYCCZS</v>
      </c>
      <c r="L725" t="str">
        <f>"ATNXUTLS"</f>
        <v>ATNXUTLS</v>
      </c>
      <c r="M725">
        <v>104</v>
      </c>
      <c r="N725">
        <v>311201056</v>
      </c>
      <c r="O725" t="str">
        <f t="shared" si="253"/>
        <v>次</v>
      </c>
      <c r="P725" t="str">
        <f t="shared" si="254"/>
        <v>治疗费</v>
      </c>
    </row>
    <row r="726" spans="1:16">
      <c r="A726" t="str">
        <f>"乳房按摩"</f>
        <v>乳房按摩</v>
      </c>
      <c r="B726">
        <v>311201057</v>
      </c>
      <c r="C726" t="str">
        <f t="shared" si="251"/>
        <v>其他</v>
      </c>
      <c r="D726" t="str">
        <f>"003112010570000"</f>
        <v>003112010570000</v>
      </c>
      <c r="G726">
        <v>6.5</v>
      </c>
      <c r="I726" t="str">
        <f t="shared" si="252"/>
        <v>次</v>
      </c>
      <c r="K726" t="str">
        <f>"RFAM"</f>
        <v>RFAM</v>
      </c>
      <c r="L726" t="str">
        <f>"EYRY"</f>
        <v>EYRY</v>
      </c>
      <c r="M726">
        <v>6.5</v>
      </c>
      <c r="N726">
        <v>311201057</v>
      </c>
      <c r="O726" t="str">
        <f t="shared" si="253"/>
        <v>次</v>
      </c>
      <c r="P726" t="str">
        <f t="shared" si="254"/>
        <v>治疗费</v>
      </c>
    </row>
    <row r="727" spans="1:16">
      <c r="A727" t="str">
        <f>"新生儿经皮胆红素测定"</f>
        <v>新生儿经皮胆红素测定</v>
      </c>
      <c r="B727">
        <v>311202011</v>
      </c>
      <c r="C727" t="str">
        <f>"检查"</f>
        <v>检查</v>
      </c>
      <c r="G727">
        <v>6.5</v>
      </c>
      <c r="I727" t="str">
        <f t="shared" si="252"/>
        <v>次</v>
      </c>
      <c r="K727" t="str">
        <f>"XSEJPDHSCD"</f>
        <v>XSEJPDHSCD</v>
      </c>
      <c r="L727" t="str">
        <f>"UTQXHEXGIP"</f>
        <v>UTQXHEXGIP</v>
      </c>
      <c r="M727">
        <v>6.5</v>
      </c>
      <c r="N727">
        <v>311202011</v>
      </c>
      <c r="O727" t="str">
        <f t="shared" si="253"/>
        <v>次</v>
      </c>
      <c r="P727" t="str">
        <f>"检查费"</f>
        <v>检查费</v>
      </c>
    </row>
    <row r="728" spans="1:16">
      <c r="A728" t="str">
        <f>"软组织内封闭术"</f>
        <v>软组织内封闭术</v>
      </c>
      <c r="B728">
        <v>311300006</v>
      </c>
      <c r="C728" t="str">
        <f t="shared" ref="C728:C734" si="255">"其他"</f>
        <v>其他</v>
      </c>
      <c r="D728" t="str">
        <f>"003113000060000"</f>
        <v>003113000060000</v>
      </c>
      <c r="G728">
        <v>33</v>
      </c>
      <c r="I728" t="str">
        <f t="shared" si="252"/>
        <v>次</v>
      </c>
      <c r="K728" t="str">
        <f>"RZZNFBS"</f>
        <v>RZZNFBS</v>
      </c>
      <c r="L728" t="str">
        <f>"LXXMFUS"</f>
        <v>LXXMFUS</v>
      </c>
      <c r="M728">
        <v>33</v>
      </c>
      <c r="N728">
        <v>311300006</v>
      </c>
      <c r="O728" t="str">
        <f t="shared" si="253"/>
        <v>次</v>
      </c>
      <c r="P728" t="str">
        <f t="shared" ref="P728:P734" si="256">"治疗费"</f>
        <v>治疗费</v>
      </c>
    </row>
    <row r="729" spans="1:16">
      <c r="A729" t="str">
        <f>"神经根封闭术"</f>
        <v>神经根封闭术</v>
      </c>
      <c r="B729">
        <v>311300007</v>
      </c>
      <c r="C729" t="str">
        <f t="shared" si="255"/>
        <v>其他</v>
      </c>
      <c r="D729" t="str">
        <f>"003113000070000"</f>
        <v>003113000070000</v>
      </c>
      <c r="G729">
        <v>52</v>
      </c>
      <c r="I729" t="str">
        <f t="shared" si="252"/>
        <v>次</v>
      </c>
      <c r="K729" t="str">
        <f>"SJGFBS"</f>
        <v>SJGFBS</v>
      </c>
      <c r="L729" t="str">
        <f>"PXSFUS"</f>
        <v>PXSFUS</v>
      </c>
      <c r="M729">
        <v>52</v>
      </c>
      <c r="N729">
        <v>311300007</v>
      </c>
      <c r="O729" t="str">
        <f t="shared" si="253"/>
        <v>次</v>
      </c>
      <c r="P729" t="str">
        <f t="shared" si="256"/>
        <v>治疗费</v>
      </c>
    </row>
    <row r="730" spans="1:16">
      <c r="A730" t="str">
        <f>"周围神经封闭术"</f>
        <v>周围神经封闭术</v>
      </c>
      <c r="B730">
        <v>311300008</v>
      </c>
      <c r="C730" t="str">
        <f t="shared" si="255"/>
        <v>其他</v>
      </c>
      <c r="D730" t="str">
        <f>"003113000080000"</f>
        <v>003113000080000</v>
      </c>
      <c r="G730">
        <v>33</v>
      </c>
      <c r="I730" t="str">
        <f t="shared" si="252"/>
        <v>次</v>
      </c>
      <c r="K730" t="str">
        <f>"ZWSJFBS"</f>
        <v>ZWSJFBS</v>
      </c>
      <c r="L730" t="str">
        <f>"MLPXFUS"</f>
        <v>MLPXFUS</v>
      </c>
      <c r="M730">
        <v>33</v>
      </c>
      <c r="N730">
        <v>311300008</v>
      </c>
      <c r="O730" t="str">
        <f t="shared" si="253"/>
        <v>次</v>
      </c>
      <c r="P730" t="str">
        <f t="shared" si="256"/>
        <v>治疗费</v>
      </c>
    </row>
    <row r="731" spans="1:16">
      <c r="A731" t="str">
        <f>"神经丛封闭术"</f>
        <v>神经丛封闭术</v>
      </c>
      <c r="B731" t="str">
        <f>"311300009-1"</f>
        <v>311300009-1</v>
      </c>
      <c r="C731" t="str">
        <f t="shared" si="255"/>
        <v>其他</v>
      </c>
      <c r="D731" t="str">
        <f>"003113000090000"</f>
        <v>003113000090000</v>
      </c>
      <c r="G731">
        <v>46</v>
      </c>
      <c r="I731" t="str">
        <f t="shared" si="252"/>
        <v>次</v>
      </c>
      <c r="K731" t="str">
        <f>"SJCFBS"</f>
        <v>SJCFBS</v>
      </c>
      <c r="L731" t="str">
        <f>"PXWFUS"</f>
        <v>PXWFUS</v>
      </c>
      <c r="M731">
        <v>46</v>
      </c>
      <c r="N731">
        <v>311300009</v>
      </c>
      <c r="O731" t="str">
        <f t="shared" si="253"/>
        <v>次</v>
      </c>
      <c r="P731" t="str">
        <f t="shared" si="256"/>
        <v>治疗费</v>
      </c>
    </row>
    <row r="732" spans="1:16">
      <c r="A732" t="str">
        <f>"皮肤活检术"</f>
        <v>皮肤活检术</v>
      </c>
      <c r="B732">
        <v>311400003</v>
      </c>
      <c r="C732" t="str">
        <f t="shared" si="255"/>
        <v>其他</v>
      </c>
      <c r="D732" t="str">
        <f>"003114000030000"</f>
        <v>003114000030000</v>
      </c>
      <c r="G732">
        <v>39</v>
      </c>
      <c r="I732" t="str">
        <f t="shared" si="252"/>
        <v>次</v>
      </c>
      <c r="K732" t="str">
        <f>"PFHJS"</f>
        <v>PFHJS</v>
      </c>
      <c r="L732" t="str">
        <f>"HEISS"</f>
        <v>HEISS</v>
      </c>
      <c r="M732">
        <v>45</v>
      </c>
      <c r="N732">
        <v>311400003</v>
      </c>
      <c r="O732" t="str">
        <f t="shared" si="253"/>
        <v>次</v>
      </c>
      <c r="P732" t="str">
        <f t="shared" si="256"/>
        <v>治疗费</v>
      </c>
    </row>
    <row r="733" spans="1:16">
      <c r="A733" t="str">
        <f>"护架烤灯"</f>
        <v>护架烤灯</v>
      </c>
      <c r="B733">
        <v>311400047</v>
      </c>
      <c r="C733" t="str">
        <f t="shared" si="255"/>
        <v>其他</v>
      </c>
      <c r="D733" t="str">
        <f>"003114000470000"</f>
        <v>003114000470000</v>
      </c>
      <c r="G733">
        <v>5.2</v>
      </c>
      <c r="I733" t="str">
        <f>"千瓦时"</f>
        <v>千瓦时</v>
      </c>
      <c r="K733" t="str">
        <f>"HJKD"</f>
        <v>HJKD</v>
      </c>
      <c r="L733" t="str">
        <f>"RLOO"</f>
        <v>RLOO</v>
      </c>
      <c r="M733">
        <v>6</v>
      </c>
      <c r="N733">
        <v>311400047</v>
      </c>
      <c r="O733" t="str">
        <f>"千瓦时"</f>
        <v>千瓦时</v>
      </c>
      <c r="P733" t="str">
        <f t="shared" si="256"/>
        <v>治疗费</v>
      </c>
    </row>
    <row r="734" spans="1:16">
      <c r="A734" t="str">
        <f>"烧伤换药"</f>
        <v>烧伤换药</v>
      </c>
      <c r="B734">
        <v>311400056</v>
      </c>
      <c r="C734" t="str">
        <f t="shared" si="255"/>
        <v>其他</v>
      </c>
      <c r="D734" t="str">
        <f>"003114000560000"</f>
        <v>003114000560000</v>
      </c>
      <c r="G734">
        <v>28</v>
      </c>
      <c r="I734" t="str">
        <f>"1%体表面"</f>
        <v>1%体表面</v>
      </c>
      <c r="K734" t="str">
        <f>"SSHY"</f>
        <v>SSHY</v>
      </c>
      <c r="L734" t="str">
        <f>"OWRA"</f>
        <v>OWRA</v>
      </c>
      <c r="M734">
        <v>28</v>
      </c>
      <c r="N734">
        <v>311400056</v>
      </c>
      <c r="O734" t="str">
        <f>"1%体表面"</f>
        <v>1%体表面</v>
      </c>
      <c r="P734" t="str">
        <f t="shared" si="256"/>
        <v>治疗费</v>
      </c>
    </row>
    <row r="735" spans="1:16">
      <c r="A735" t="str">
        <f>"9条目患者健康问卷（PHQ-9）"</f>
        <v>9条目患者健康问卷（PHQ-9）</v>
      </c>
      <c r="B735" t="str">
        <f>"311501001-20"</f>
        <v>311501001-20</v>
      </c>
      <c r="C735" t="str">
        <f>"检查"</f>
        <v>检查</v>
      </c>
      <c r="G735">
        <v>15</v>
      </c>
      <c r="I735" t="str">
        <f t="shared" ref="I735:I743" si="257">"次"</f>
        <v>次</v>
      </c>
      <c r="K735" t="str">
        <f>"9TMHZJKWJPHQ9"</f>
        <v>9TMHZJKWJPHQ9</v>
      </c>
      <c r="L735" t="str">
        <f>"9THKFWYUUPHQ9"</f>
        <v>9THKFWYUUPHQ9</v>
      </c>
      <c r="M735">
        <v>45</v>
      </c>
      <c r="N735">
        <v>311501001</v>
      </c>
      <c r="O735" t="str">
        <f t="shared" ref="O735:O743" si="258">"次"</f>
        <v>次</v>
      </c>
      <c r="P735" t="str">
        <f>"检查费"</f>
        <v>检查费</v>
      </c>
    </row>
    <row r="736" spans="1:16">
      <c r="A736" t="str">
        <f>"首诊精神病检查"</f>
        <v>首诊精神病检查</v>
      </c>
      <c r="B736">
        <v>311502004</v>
      </c>
      <c r="C736" t="str">
        <f t="shared" ref="C736:C740" si="259">"其他"</f>
        <v>其他</v>
      </c>
      <c r="G736">
        <v>44</v>
      </c>
      <c r="I736" t="str">
        <f t="shared" si="257"/>
        <v>次</v>
      </c>
      <c r="K736" t="str">
        <f>"SZJSBJC"</f>
        <v>SZJSBJC</v>
      </c>
      <c r="L736" t="str">
        <f>"UYOPUSS"</f>
        <v>UYOPUSS</v>
      </c>
      <c r="M736">
        <v>44</v>
      </c>
      <c r="N736">
        <v>311502004</v>
      </c>
      <c r="O736" t="str">
        <f t="shared" si="258"/>
        <v>次</v>
      </c>
      <c r="P736" t="str">
        <f>"治疗费"</f>
        <v>治疗费</v>
      </c>
    </row>
    <row r="737" spans="1:16">
      <c r="A737" t="str">
        <f>"抗菌薇乔可吸收缝线"</f>
        <v>抗菌薇乔可吸收缝线</v>
      </c>
      <c r="B737" t="str">
        <f>"33-7-3"</f>
        <v>33-7-3</v>
      </c>
      <c r="C737" t="str">
        <f>"材料"</f>
        <v>材料</v>
      </c>
      <c r="D737" t="str">
        <f>"C1408041850000910758"</f>
        <v>C1408041850000910758</v>
      </c>
      <c r="G737">
        <v>29</v>
      </c>
      <c r="I737" t="str">
        <f>"VCP397H"</f>
        <v>VCP397H</v>
      </c>
      <c r="K737" t="str">
        <f>"KJQKXSFX"</f>
        <v>KJQKXSFX</v>
      </c>
      <c r="L737" t="str">
        <f>"RAATSKNXX"</f>
        <v>RAATSKNXX</v>
      </c>
      <c r="M737">
        <v>62</v>
      </c>
      <c r="N737" t="str">
        <f>"33-7"</f>
        <v>33-7</v>
      </c>
      <c r="O737" t="str">
        <f>"包"</f>
        <v>包</v>
      </c>
      <c r="P737" t="str">
        <f>"材料费"</f>
        <v>材料费</v>
      </c>
    </row>
    <row r="738" spans="1:16">
      <c r="A738" t="str">
        <f>"一次性使用鼻咽通气道"</f>
        <v>一次性使用鼻咽通气道</v>
      </c>
      <c r="B738" t="str">
        <f>"3301-1"</f>
        <v>3301-1</v>
      </c>
      <c r="C738" t="str">
        <f>"材料"</f>
        <v>材料</v>
      </c>
      <c r="D738" t="str">
        <f>"C01012522500003016820000033"</f>
        <v>C01012522500003016820000033</v>
      </c>
      <c r="G738">
        <v>40</v>
      </c>
      <c r="I738">
        <v>7</v>
      </c>
      <c r="K738" t="str">
        <f>"YCXSYBYTQD"</f>
        <v>YCXSYBYTQD</v>
      </c>
      <c r="L738" t="str">
        <f>"GUNWETKCRU"</f>
        <v>GUNWETKCRU</v>
      </c>
      <c r="M738">
        <v>40</v>
      </c>
      <c r="O738" t="str">
        <f>"根"</f>
        <v>根</v>
      </c>
      <c r="P738" t="str">
        <f>"材料费"</f>
        <v>材料费</v>
      </c>
    </row>
    <row r="739" spans="1:16">
      <c r="A739" t="str">
        <f>"心肺复苏术"</f>
        <v>心肺复苏术</v>
      </c>
      <c r="B739">
        <v>330100012</v>
      </c>
      <c r="C739" t="str">
        <f t="shared" si="259"/>
        <v>其他</v>
      </c>
      <c r="D739" t="str">
        <f>"003301000120000"</f>
        <v>003301000120000</v>
      </c>
      <c r="G739">
        <v>149</v>
      </c>
      <c r="I739" t="str">
        <f t="shared" si="257"/>
        <v>次</v>
      </c>
      <c r="K739" t="str">
        <f>"XFFSS"</f>
        <v>XFFSS</v>
      </c>
      <c r="L739" t="str">
        <f>"NETAS"</f>
        <v>NETAS</v>
      </c>
      <c r="M739">
        <v>149</v>
      </c>
      <c r="N739">
        <v>330100012</v>
      </c>
      <c r="O739" t="str">
        <f t="shared" si="258"/>
        <v>次</v>
      </c>
      <c r="P739" t="str">
        <f>"治疗费"</f>
        <v>治疗费</v>
      </c>
    </row>
    <row r="740" spans="1:16">
      <c r="A740" t="str">
        <f>"气管插管术"</f>
        <v>气管插管术</v>
      </c>
      <c r="B740">
        <v>330100013</v>
      </c>
      <c r="C740" t="str">
        <f t="shared" si="259"/>
        <v>其他</v>
      </c>
      <c r="D740" t="str">
        <f>"003301000130000"</f>
        <v>003301000130000</v>
      </c>
      <c r="G740">
        <v>60</v>
      </c>
      <c r="I740" t="str">
        <f t="shared" si="257"/>
        <v>次</v>
      </c>
      <c r="K740" t="str">
        <f>"QGCGS"</f>
        <v>QGCGS</v>
      </c>
      <c r="L740" t="str">
        <f>"RTRTS"</f>
        <v>RTRTS</v>
      </c>
      <c r="M740">
        <v>60</v>
      </c>
      <c r="N740">
        <v>330100013</v>
      </c>
      <c r="O740" t="str">
        <f t="shared" si="258"/>
        <v>次</v>
      </c>
      <c r="P740" t="str">
        <f>"手术治疗费"</f>
        <v>手术治疗费</v>
      </c>
    </row>
    <row r="741" spans="1:16">
      <c r="A741" t="str">
        <f>"头皮肿物切除术"</f>
        <v>头皮肿物切除术</v>
      </c>
      <c r="B741">
        <v>330201001</v>
      </c>
      <c r="C741" t="str">
        <f t="shared" ref="C741:C743" si="260">"手术"</f>
        <v>手术</v>
      </c>
      <c r="D741" t="str">
        <f>"003302010010000"</f>
        <v>003302010010000</v>
      </c>
      <c r="G741">
        <v>108</v>
      </c>
      <c r="I741" t="str">
        <f t="shared" si="257"/>
        <v>次</v>
      </c>
      <c r="K741" t="str">
        <f>"TPZWQCS"</f>
        <v>TPZWQCS</v>
      </c>
      <c r="L741" t="str">
        <f>"UHETABS"</f>
        <v>UHETABS</v>
      </c>
      <c r="M741">
        <v>108</v>
      </c>
      <c r="N741">
        <v>330201001</v>
      </c>
      <c r="O741" t="str">
        <f t="shared" si="258"/>
        <v>次</v>
      </c>
      <c r="P741" t="str">
        <f t="shared" ref="P741:P743" si="261">"手术费"</f>
        <v>手术费</v>
      </c>
    </row>
    <row r="742" spans="1:16">
      <c r="A742" t="str">
        <f>"头皮肿物切除术直径大于4cm加收"</f>
        <v>头皮肿物切除术直径大于4cm加收</v>
      </c>
      <c r="B742" t="str">
        <f>"330201001-a"</f>
        <v>330201001-a</v>
      </c>
      <c r="C742" t="str">
        <f t="shared" si="260"/>
        <v>手术</v>
      </c>
      <c r="D742" t="str">
        <f>"003302010010001"</f>
        <v>003302010010001</v>
      </c>
      <c r="G742">
        <v>30</v>
      </c>
      <c r="I742" t="str">
        <f t="shared" si="257"/>
        <v>次</v>
      </c>
      <c r="K742" t="str">
        <f>"TPZWQCSZJDY4CMJS"</f>
        <v>TPZWQCSZJDY4CMJS</v>
      </c>
      <c r="L742" t="str">
        <f>"UHETABSFTDG4cmLN"</f>
        <v>UHETABSFTDG4cmLN</v>
      </c>
      <c r="M742">
        <v>30</v>
      </c>
      <c r="N742" t="str">
        <f>"330201001-a"</f>
        <v>330201001-a</v>
      </c>
      <c r="O742" t="str">
        <f t="shared" si="258"/>
        <v>次</v>
      </c>
      <c r="P742" t="str">
        <f t="shared" si="261"/>
        <v>手术费</v>
      </c>
    </row>
    <row r="743" spans="1:16">
      <c r="A743" t="str">
        <f>"鼻外伤清创缝合术"</f>
        <v>鼻外伤清创缝合术</v>
      </c>
      <c r="B743">
        <v>330601001</v>
      </c>
      <c r="C743" t="str">
        <f t="shared" si="260"/>
        <v>手术</v>
      </c>
      <c r="D743" t="str">
        <f>"003306010010000"</f>
        <v>003306010010000</v>
      </c>
      <c r="G743">
        <v>216</v>
      </c>
      <c r="I743" t="str">
        <f t="shared" si="257"/>
        <v>次</v>
      </c>
      <c r="K743" t="str">
        <f>"BWSQCFHS"</f>
        <v>BWSQCFHS</v>
      </c>
      <c r="L743" t="str">
        <f>"TQWIWXWS"</f>
        <v>TQWIWXWS</v>
      </c>
      <c r="M743">
        <v>216</v>
      </c>
      <c r="N743">
        <v>330601001</v>
      </c>
      <c r="O743" t="str">
        <f t="shared" si="258"/>
        <v>次</v>
      </c>
      <c r="P743" t="str">
        <f t="shared" si="261"/>
        <v>手术费</v>
      </c>
    </row>
    <row r="744" spans="1:16">
      <c r="A744" t="str">
        <f>"胶质银止血明胶海绵"</f>
        <v>胶质银止血明胶海绵</v>
      </c>
      <c r="B744" t="str">
        <f>"330604-1"</f>
        <v>330604-1</v>
      </c>
      <c r="C744" t="str">
        <f>"材料"</f>
        <v>材料</v>
      </c>
      <c r="D744" t="str">
        <f>"C15010521201001039280000002"</f>
        <v>C15010521201001039280000002</v>
      </c>
      <c r="G744">
        <v>26.68</v>
      </c>
      <c r="I744" t="str">
        <f>"项"</f>
        <v>项</v>
      </c>
      <c r="K744" t="str">
        <f>"JZYZXMJHM"</f>
        <v>JZYZXMJHM</v>
      </c>
      <c r="L744" t="str">
        <f>"ERQHTJEIX"</f>
        <v>ERQHTJEIX</v>
      </c>
      <c r="M744">
        <v>29</v>
      </c>
      <c r="N744" t="str">
        <f>"330604-1"</f>
        <v>330604-1</v>
      </c>
      <c r="O744" t="str">
        <f>"项"</f>
        <v>项</v>
      </c>
      <c r="P744" t="str">
        <f>"材料费"</f>
        <v>材料费</v>
      </c>
    </row>
    <row r="745" spans="1:16">
      <c r="A745" t="str">
        <f>"根端囊肿摘除术"</f>
        <v>根端囊肿摘除术</v>
      </c>
      <c r="B745">
        <v>330604022</v>
      </c>
      <c r="C745" t="str">
        <f t="shared" ref="C745:C750" si="262">"手术"</f>
        <v>手术</v>
      </c>
      <c r="D745" t="str">
        <f>"003306040220000"</f>
        <v>003306040220000</v>
      </c>
      <c r="G745">
        <v>162</v>
      </c>
      <c r="I745" t="str">
        <f>"每牙"</f>
        <v>每牙</v>
      </c>
      <c r="K745" t="str">
        <f>"GDNZZCS"</f>
        <v>GDNZZCS</v>
      </c>
      <c r="L745" t="str">
        <f>"SUGERBS"</f>
        <v>SUGERBS</v>
      </c>
      <c r="M745">
        <v>162</v>
      </c>
      <c r="N745">
        <v>330604022</v>
      </c>
      <c r="O745" t="str">
        <f>"每牙"</f>
        <v>每牙</v>
      </c>
      <c r="P745" t="str">
        <f t="shared" ref="P745:P750" si="263">"手术费"</f>
        <v>手术费</v>
      </c>
    </row>
    <row r="746" spans="1:16">
      <c r="A746" t="str">
        <f>"口腔颌面软组织清创术(大)"</f>
        <v>口腔颌面软组织清创术(大)</v>
      </c>
      <c r="B746">
        <v>330608001</v>
      </c>
      <c r="C746" t="str">
        <f>"其他"</f>
        <v>其他</v>
      </c>
      <c r="D746" t="str">
        <f>"003306080010000"</f>
        <v>003306080010000</v>
      </c>
      <c r="G746">
        <v>432</v>
      </c>
      <c r="I746" t="str">
        <f t="shared" ref="I746:I748" si="264">"次"</f>
        <v>次</v>
      </c>
      <c r="K746" t="str">
        <f>"KQHMRZZQCS(D)"</f>
        <v>KQHMRZZQCS(D)</v>
      </c>
      <c r="L746" t="str">
        <f>"KEWDLXXIWS(D)"</f>
        <v>KEWDLXXIWS(D)</v>
      </c>
      <c r="M746">
        <v>490</v>
      </c>
      <c r="N746">
        <v>330608001</v>
      </c>
      <c r="O746" t="str">
        <f t="shared" ref="O746:O750" si="265">"次"</f>
        <v>次</v>
      </c>
      <c r="P746" t="str">
        <f t="shared" si="263"/>
        <v>手术费</v>
      </c>
    </row>
    <row r="747" spans="1:16">
      <c r="A747" t="str">
        <f>"口腔颌面软组织清创术(中)"</f>
        <v>口腔颌面软组织清创术(中)</v>
      </c>
      <c r="B747">
        <v>330608002</v>
      </c>
      <c r="C747" t="str">
        <f t="shared" si="262"/>
        <v>手术</v>
      </c>
      <c r="D747" t="str">
        <f>"003306080020000"</f>
        <v>003306080020000</v>
      </c>
      <c r="G747">
        <v>284</v>
      </c>
      <c r="I747" t="str">
        <f t="shared" si="264"/>
        <v>次</v>
      </c>
      <c r="K747" t="str">
        <f>"KQHMRZZQCS(Z)"</f>
        <v>KQHMRZZQCS(Z)</v>
      </c>
      <c r="L747" t="str">
        <f>"KEWDLXXIWS(K)"</f>
        <v>KEWDLXXIWS(K)</v>
      </c>
      <c r="M747">
        <v>320</v>
      </c>
      <c r="N747">
        <v>330608002</v>
      </c>
      <c r="O747" t="str">
        <f t="shared" si="265"/>
        <v>次</v>
      </c>
      <c r="P747" t="str">
        <f t="shared" si="263"/>
        <v>手术费</v>
      </c>
    </row>
    <row r="748" spans="1:16">
      <c r="A748" t="str">
        <f>"口腔颌面软组织清创术(小)"</f>
        <v>口腔颌面软组织清创术(小)</v>
      </c>
      <c r="B748">
        <v>330608003</v>
      </c>
      <c r="C748" t="str">
        <f t="shared" si="262"/>
        <v>手术</v>
      </c>
      <c r="D748" t="str">
        <f>"003306080030000"</f>
        <v>003306080030000</v>
      </c>
      <c r="G748">
        <v>108</v>
      </c>
      <c r="I748" t="str">
        <f t="shared" si="264"/>
        <v>次</v>
      </c>
      <c r="K748" t="str">
        <f>"KQHMRZZQCS(X)"</f>
        <v>KQHMRZZQCS(X)</v>
      </c>
      <c r="L748" t="str">
        <f>"KEWDLXXIWS(I)"</f>
        <v>KEWDLXXIWS(I)</v>
      </c>
      <c r="M748">
        <v>122</v>
      </c>
      <c r="N748">
        <v>330608003</v>
      </c>
      <c r="O748" t="str">
        <f t="shared" si="265"/>
        <v>次</v>
      </c>
      <c r="P748" t="str">
        <f t="shared" si="263"/>
        <v>手术费</v>
      </c>
    </row>
    <row r="749" spans="1:16">
      <c r="A749" t="str">
        <f>"嵌顿包茎松解术"</f>
        <v>嵌顿包茎松解术</v>
      </c>
      <c r="B749">
        <v>331204001</v>
      </c>
      <c r="C749" t="str">
        <f t="shared" si="262"/>
        <v>手术</v>
      </c>
      <c r="D749" t="str">
        <f>"003312040010000"</f>
        <v>003312040010000</v>
      </c>
      <c r="G749">
        <v>216</v>
      </c>
      <c r="I749">
        <v>1</v>
      </c>
      <c r="K749" t="str">
        <f>"QDBJSJS"</f>
        <v>QDBJSJS</v>
      </c>
      <c r="L749" t="str">
        <f>"MGQASQS"</f>
        <v>MGQASQS</v>
      </c>
      <c r="M749">
        <v>216</v>
      </c>
      <c r="N749">
        <v>331204001</v>
      </c>
      <c r="O749" t="str">
        <f t="shared" si="265"/>
        <v>次</v>
      </c>
      <c r="P749" t="str">
        <f t="shared" si="263"/>
        <v>手术费</v>
      </c>
    </row>
    <row r="750" spans="1:16">
      <c r="A750" t="str">
        <f>"包皮环切术"</f>
        <v>包皮环切术</v>
      </c>
      <c r="B750">
        <v>331204002</v>
      </c>
      <c r="C750" t="str">
        <f t="shared" si="262"/>
        <v>手术</v>
      </c>
      <c r="D750" t="str">
        <f>"003312040020000"</f>
        <v>003312040020000</v>
      </c>
      <c r="G750">
        <v>243</v>
      </c>
      <c r="I750" t="str">
        <f>"次"</f>
        <v>次</v>
      </c>
      <c r="K750" t="str">
        <f>"BPHQS"</f>
        <v>BPHQS</v>
      </c>
      <c r="L750" t="str">
        <f>"QHGAS"</f>
        <v>QHGAS</v>
      </c>
      <c r="M750">
        <v>303</v>
      </c>
      <c r="N750">
        <v>331204002</v>
      </c>
      <c r="O750" t="str">
        <f t="shared" si="265"/>
        <v>次</v>
      </c>
      <c r="P750" t="str">
        <f t="shared" si="263"/>
        <v>手术费</v>
      </c>
    </row>
    <row r="751" spans="1:16">
      <c r="A751" t="str">
        <f>"医用绷带"</f>
        <v>医用绷带</v>
      </c>
      <c r="B751" t="str">
        <f>"3315-2"</f>
        <v>3315-2</v>
      </c>
      <c r="C751" t="str">
        <f>"材料"</f>
        <v>材料</v>
      </c>
      <c r="D751" t="str">
        <f>"C1703012160100005689"</f>
        <v>C1703012160100005689</v>
      </c>
      <c r="G751">
        <v>1.09</v>
      </c>
      <c r="I751" t="str">
        <f>"6cm*600cm"</f>
        <v>6cm*600cm</v>
      </c>
      <c r="K751" t="str">
        <f>"YYBD"</f>
        <v>YYBD</v>
      </c>
      <c r="L751" t="str">
        <f>"AEXG"</f>
        <v>AEXG</v>
      </c>
      <c r="M751">
        <v>2.4</v>
      </c>
      <c r="N751" t="str">
        <f>"3315-2"</f>
        <v>3315-2</v>
      </c>
      <c r="O751" t="str">
        <f>"卷"</f>
        <v>卷</v>
      </c>
      <c r="P751" t="str">
        <f>"材料费"</f>
        <v>材料费</v>
      </c>
    </row>
    <row r="752" spans="1:16">
      <c r="A752" t="str">
        <f>"粘胶石膏绷带"</f>
        <v>粘胶石膏绷带</v>
      </c>
      <c r="B752" t="str">
        <f>"3315-2-2"</f>
        <v>3315-2-2</v>
      </c>
      <c r="C752" t="str">
        <f>"材料"</f>
        <v>材料</v>
      </c>
      <c r="D752" t="str">
        <f>"C14090118800000056890000012"</f>
        <v>C14090118800000056890000012</v>
      </c>
      <c r="G752">
        <v>10</v>
      </c>
      <c r="I752" t="str">
        <f>"15cm*460cm"</f>
        <v>15cm*460cm</v>
      </c>
      <c r="K752" t="str">
        <f>"ZJSGBD"</f>
        <v>ZJSGBD</v>
      </c>
      <c r="L752" t="str">
        <f>"OEDYXG"</f>
        <v>OEDYXG</v>
      </c>
      <c r="M752">
        <v>8.6</v>
      </c>
      <c r="N752" t="str">
        <f>"3315-2"</f>
        <v>3315-2</v>
      </c>
      <c r="O752" t="str">
        <f>"卷"</f>
        <v>卷</v>
      </c>
      <c r="P752" t="str">
        <f>"材料费"</f>
        <v>材料费</v>
      </c>
    </row>
    <row r="753" spans="1:16">
      <c r="A753" t="str">
        <f>"手(脚)外伤清创术"</f>
        <v>手(脚)外伤清创术</v>
      </c>
      <c r="B753">
        <v>331521008</v>
      </c>
      <c r="C753" t="str">
        <f t="shared" ref="C753:C756" si="266">"其他"</f>
        <v>其他</v>
      </c>
      <c r="D753" t="str">
        <f>"003315210080000"</f>
        <v>003315210080000</v>
      </c>
      <c r="G753">
        <v>162</v>
      </c>
      <c r="I753">
        <v>1</v>
      </c>
      <c r="K753" t="str">
        <f>"S(J)WSQCS"</f>
        <v>S(J)WSQCS</v>
      </c>
      <c r="L753" t="str">
        <f>"REQWIWS"</f>
        <v>REQWIWS</v>
      </c>
      <c r="M753">
        <v>162</v>
      </c>
      <c r="N753">
        <v>331521008</v>
      </c>
      <c r="O753" t="str">
        <f>"每指"</f>
        <v>每指</v>
      </c>
      <c r="P753" t="str">
        <f t="shared" ref="P753:P757" si="267">"手术费"</f>
        <v>手术费</v>
      </c>
    </row>
    <row r="754" spans="1:16">
      <c r="A754" t="str">
        <f>"手(脚)外伤清创术加收"</f>
        <v>手(脚)外伤清创术加收</v>
      </c>
      <c r="B754" t="str">
        <f>"331521008-a"</f>
        <v>331521008-a</v>
      </c>
      <c r="C754" t="str">
        <f t="shared" si="266"/>
        <v>其他</v>
      </c>
      <c r="D754" t="str">
        <f>"003315210080001"</f>
        <v>003315210080001</v>
      </c>
      <c r="G754">
        <v>150</v>
      </c>
      <c r="I754" t="str">
        <f>"每指"</f>
        <v>每指</v>
      </c>
      <c r="K754" t="str">
        <f>"S(J)WSQCSJS"</f>
        <v>S(J)WSQCSJS</v>
      </c>
      <c r="L754" t="str">
        <f>"REQWIWSLN"</f>
        <v>REQWIWSLN</v>
      </c>
      <c r="M754">
        <v>150</v>
      </c>
      <c r="N754" t="str">
        <f>"331521008-a"</f>
        <v>331521008-a</v>
      </c>
      <c r="O754" t="str">
        <f>"每指"</f>
        <v>每指</v>
      </c>
      <c r="P754" t="str">
        <f t="shared" si="267"/>
        <v>手术费</v>
      </c>
    </row>
    <row r="755" spans="1:16">
      <c r="A755" t="str">
        <f>"石膏固定术(小)"</f>
        <v>石膏固定术(小)</v>
      </c>
      <c r="B755">
        <v>331523009</v>
      </c>
      <c r="C755" t="str">
        <f>"手术"</f>
        <v>手术</v>
      </c>
      <c r="D755" t="str">
        <f>"003315230090000"</f>
        <v>003315230090000</v>
      </c>
      <c r="G755">
        <v>43</v>
      </c>
      <c r="I755" t="str">
        <f t="shared" ref="I755:I763" si="268">"次"</f>
        <v>次</v>
      </c>
      <c r="K755" t="str">
        <f>"SGGDS(X)"</f>
        <v>SGGDS(X)</v>
      </c>
      <c r="L755" t="str">
        <f>"DYLPS(I)"</f>
        <v>DYLPS(I)</v>
      </c>
      <c r="M755">
        <v>43</v>
      </c>
      <c r="N755">
        <v>331523009</v>
      </c>
      <c r="O755" t="str">
        <f t="shared" ref="O755:O757" si="269">"次"</f>
        <v>次</v>
      </c>
      <c r="P755" t="str">
        <f t="shared" si="267"/>
        <v>手术费</v>
      </c>
    </row>
    <row r="756" spans="1:16">
      <c r="A756" t="str">
        <f>"石膏拆除术"</f>
        <v>石膏拆除术</v>
      </c>
      <c r="B756">
        <v>331523010</v>
      </c>
      <c r="C756" t="str">
        <f t="shared" si="266"/>
        <v>其他</v>
      </c>
      <c r="D756" t="str">
        <f>"003315230100000"</f>
        <v>003315230100000</v>
      </c>
      <c r="G756">
        <v>22</v>
      </c>
      <c r="I756" t="str">
        <f t="shared" si="268"/>
        <v>次</v>
      </c>
      <c r="K756" t="str">
        <f>"SGCCS"</f>
        <v>SGCCS</v>
      </c>
      <c r="L756" t="str">
        <f>"DYRBS"</f>
        <v>DYRBS</v>
      </c>
      <c r="M756">
        <v>22</v>
      </c>
      <c r="N756">
        <v>331523010</v>
      </c>
      <c r="O756" t="str">
        <f t="shared" si="269"/>
        <v>次</v>
      </c>
      <c r="P756" t="str">
        <f t="shared" si="267"/>
        <v>手术费</v>
      </c>
    </row>
    <row r="757" spans="1:16">
      <c r="A757" t="str">
        <f>"脓肿切开引流术"</f>
        <v>脓肿切开引流术</v>
      </c>
      <c r="B757">
        <v>331602001</v>
      </c>
      <c r="C757" t="str">
        <f>"手术"</f>
        <v>手术</v>
      </c>
      <c r="D757" t="str">
        <f>"003316020010000"</f>
        <v>003316020010000</v>
      </c>
      <c r="G757">
        <v>108</v>
      </c>
      <c r="I757" t="str">
        <f t="shared" si="268"/>
        <v>次</v>
      </c>
      <c r="K757" t="str">
        <f>"NZQKYLS"</f>
        <v>NZQKYLS</v>
      </c>
      <c r="L757" t="str">
        <f>"EEAGXIS"</f>
        <v>EEAGXIS</v>
      </c>
      <c r="M757">
        <v>108</v>
      </c>
      <c r="N757">
        <v>331602001</v>
      </c>
      <c r="O757" t="str">
        <f t="shared" si="269"/>
        <v>次</v>
      </c>
      <c r="P757" t="str">
        <f t="shared" si="267"/>
        <v>手术费</v>
      </c>
    </row>
    <row r="758" spans="1:16">
      <c r="A758" t="str">
        <f>"红外线治疗"</f>
        <v>红外线治疗</v>
      </c>
      <c r="B758">
        <v>340100001</v>
      </c>
      <c r="C758" t="str">
        <f>"治疗"</f>
        <v>治疗</v>
      </c>
      <c r="D758" t="str">
        <f>"003401000010000"</f>
        <v>003401000010000</v>
      </c>
      <c r="G758">
        <v>7</v>
      </c>
      <c r="I758" t="str">
        <f t="shared" si="268"/>
        <v>次</v>
      </c>
      <c r="K758" t="str">
        <f>"HWXZL"</f>
        <v>HWXZL</v>
      </c>
      <c r="L758" t="str">
        <f>"XQXIU"</f>
        <v>XQXIU</v>
      </c>
      <c r="M758">
        <v>7</v>
      </c>
      <c r="N758">
        <v>340100001</v>
      </c>
      <c r="O758" t="str">
        <f>"每部位"</f>
        <v>每部位</v>
      </c>
      <c r="P758" t="str">
        <f t="shared" ref="P758:P775" si="270">"治疗费"</f>
        <v>治疗费</v>
      </c>
    </row>
    <row r="759" spans="1:16">
      <c r="A759" t="str">
        <f>"可见光治疗"</f>
        <v>可见光治疗</v>
      </c>
      <c r="B759">
        <v>340100002</v>
      </c>
      <c r="C759" t="str">
        <f t="shared" ref="C759:C767" si="271">"其他"</f>
        <v>其他</v>
      </c>
      <c r="D759" t="str">
        <f>"003401000020000"</f>
        <v>003401000020000</v>
      </c>
      <c r="G759">
        <v>5</v>
      </c>
      <c r="I759" t="str">
        <f t="shared" si="268"/>
        <v>次</v>
      </c>
      <c r="K759" t="str">
        <f>"KJGZL"</f>
        <v>KJGZL</v>
      </c>
      <c r="L759" t="str">
        <f>"SMIIU"</f>
        <v>SMIIU</v>
      </c>
      <c r="M759">
        <v>7</v>
      </c>
      <c r="N759">
        <v>340100002</v>
      </c>
      <c r="O759" t="str">
        <f t="shared" ref="O759:O761" si="272">"次"</f>
        <v>次</v>
      </c>
      <c r="P759" t="str">
        <f t="shared" si="270"/>
        <v>治疗费</v>
      </c>
    </row>
    <row r="760" spans="1:16">
      <c r="A760" t="str">
        <f>"偏振光照射"</f>
        <v>偏振光照射</v>
      </c>
      <c r="B760">
        <v>340100003</v>
      </c>
      <c r="C760" t="str">
        <f t="shared" si="271"/>
        <v>其他</v>
      </c>
      <c r="D760" t="str">
        <f>"003401000030000"</f>
        <v>003401000030000</v>
      </c>
      <c r="G760">
        <v>8</v>
      </c>
      <c r="I760" t="str">
        <f t="shared" si="268"/>
        <v>次</v>
      </c>
      <c r="K760" t="str">
        <f>"PZGZS"</f>
        <v>PZGZS</v>
      </c>
      <c r="L760" t="str">
        <f>"WRIJT"</f>
        <v>WRIJT</v>
      </c>
      <c r="M760">
        <v>8</v>
      </c>
      <c r="N760">
        <v>340100003</v>
      </c>
      <c r="O760" t="str">
        <f t="shared" si="272"/>
        <v>次</v>
      </c>
      <c r="P760" t="str">
        <f t="shared" si="270"/>
        <v>治疗费</v>
      </c>
    </row>
    <row r="761" spans="1:16">
      <c r="A761" t="str">
        <f>"紫外线治疗"</f>
        <v>紫外线治疗</v>
      </c>
      <c r="B761">
        <v>340100004</v>
      </c>
      <c r="C761" t="str">
        <f t="shared" si="271"/>
        <v>其他</v>
      </c>
      <c r="D761" t="str">
        <f>"003401000040000"</f>
        <v>003401000040000</v>
      </c>
      <c r="G761">
        <v>8</v>
      </c>
      <c r="I761" t="str">
        <f t="shared" si="268"/>
        <v>次</v>
      </c>
      <c r="K761" t="str">
        <f>"ZWXZL"</f>
        <v>ZWXZL</v>
      </c>
      <c r="L761" t="str">
        <f>"HQXIU"</f>
        <v>HQXIU</v>
      </c>
      <c r="M761">
        <v>10</v>
      </c>
      <c r="N761">
        <v>340100004</v>
      </c>
      <c r="O761" t="str">
        <f t="shared" si="272"/>
        <v>次</v>
      </c>
      <c r="P761" t="str">
        <f t="shared" si="270"/>
        <v>治疗费</v>
      </c>
    </row>
    <row r="762" spans="1:16">
      <c r="A762" t="str">
        <f>"激光疗法"</f>
        <v>激光疗法</v>
      </c>
      <c r="B762">
        <v>340100005</v>
      </c>
      <c r="C762" t="str">
        <f t="shared" si="271"/>
        <v>其他</v>
      </c>
      <c r="D762" t="str">
        <f>"003401000050000"</f>
        <v>003401000050000</v>
      </c>
      <c r="G762">
        <v>10</v>
      </c>
      <c r="I762" t="str">
        <f t="shared" si="268"/>
        <v>次</v>
      </c>
      <c r="K762" t="str">
        <f>"JGLF"</f>
        <v>JGLF</v>
      </c>
      <c r="L762" t="str">
        <f>"IIUI"</f>
        <v>IIUI</v>
      </c>
      <c r="M762">
        <v>12</v>
      </c>
      <c r="N762">
        <v>340100005</v>
      </c>
      <c r="O762" t="str">
        <f t="shared" ref="O762:O766" si="273">"每部位"</f>
        <v>每部位</v>
      </c>
      <c r="P762" t="str">
        <f t="shared" si="270"/>
        <v>治疗费</v>
      </c>
    </row>
    <row r="763" spans="1:16">
      <c r="A763" t="str">
        <f>"光敏疗法"</f>
        <v>光敏疗法</v>
      </c>
      <c r="B763">
        <v>340100006</v>
      </c>
      <c r="C763" t="str">
        <f t="shared" si="271"/>
        <v>其他</v>
      </c>
      <c r="D763" t="str">
        <f>"003401000060000"</f>
        <v>003401000060000</v>
      </c>
      <c r="G763">
        <v>10</v>
      </c>
      <c r="I763" t="str">
        <f t="shared" si="268"/>
        <v>次</v>
      </c>
      <c r="K763" t="str">
        <f>"GMLF"</f>
        <v>GMLF</v>
      </c>
      <c r="L763" t="str">
        <f>"ITUI"</f>
        <v>ITUI</v>
      </c>
      <c r="M763">
        <v>10</v>
      </c>
      <c r="N763">
        <v>340100006</v>
      </c>
      <c r="O763" t="str">
        <f>"次"</f>
        <v>次</v>
      </c>
      <c r="P763" t="str">
        <f t="shared" si="270"/>
        <v>治疗费</v>
      </c>
    </row>
    <row r="764" spans="1:16">
      <c r="A764" t="str">
        <f>"电诊断"</f>
        <v>电诊断</v>
      </c>
      <c r="B764">
        <v>340100007</v>
      </c>
      <c r="C764" t="str">
        <f t="shared" si="271"/>
        <v>其他</v>
      </c>
      <c r="D764" t="str">
        <f>"003401000070000"</f>
        <v>003401000070000</v>
      </c>
      <c r="G764">
        <v>15</v>
      </c>
      <c r="I764" t="str">
        <f>"根"</f>
        <v>根</v>
      </c>
      <c r="K764" t="str">
        <f>"DZD"</f>
        <v>DZD</v>
      </c>
      <c r="L764" t="str">
        <f>"JYO"</f>
        <v>JYO</v>
      </c>
      <c r="M764">
        <v>15</v>
      </c>
      <c r="N764">
        <v>340100007</v>
      </c>
      <c r="O764" t="str">
        <f>"每根"</f>
        <v>每根</v>
      </c>
      <c r="P764" t="str">
        <f t="shared" si="270"/>
        <v>治疗费</v>
      </c>
    </row>
    <row r="765" spans="1:16">
      <c r="A765" t="str">
        <f>"直流电治疗"</f>
        <v>直流电治疗</v>
      </c>
      <c r="B765">
        <v>340100008</v>
      </c>
      <c r="C765" t="str">
        <f t="shared" si="271"/>
        <v>其他</v>
      </c>
      <c r="D765" t="str">
        <f>"003401000080000"</f>
        <v>003401000080000</v>
      </c>
      <c r="G765">
        <v>8</v>
      </c>
      <c r="I765" t="str">
        <f>"每部位"</f>
        <v>每部位</v>
      </c>
      <c r="K765" t="str">
        <f>"ZLDZL"</f>
        <v>ZLDZL</v>
      </c>
      <c r="L765" t="str">
        <f>"FIJIU"</f>
        <v>FIJIU</v>
      </c>
      <c r="M765">
        <v>12</v>
      </c>
      <c r="N765">
        <v>340100008</v>
      </c>
      <c r="O765" t="str">
        <f t="shared" si="273"/>
        <v>每部位</v>
      </c>
      <c r="P765" t="str">
        <f t="shared" si="270"/>
        <v>治疗费</v>
      </c>
    </row>
    <row r="766" spans="1:16">
      <c r="A766" t="str">
        <f>"低频脉冲功能性电刺激治疗"</f>
        <v>低频脉冲功能性电刺激治疗</v>
      </c>
      <c r="B766">
        <v>340100009</v>
      </c>
      <c r="C766" t="str">
        <f t="shared" si="271"/>
        <v>其他</v>
      </c>
      <c r="D766" t="str">
        <f>"003401000090000"</f>
        <v>003401000090000</v>
      </c>
      <c r="G766">
        <v>8</v>
      </c>
      <c r="I766" t="str">
        <f>"每部位"</f>
        <v>每部位</v>
      </c>
      <c r="K766" t="str">
        <f>"DPMCGNXDCJZL"</f>
        <v>DPMCGNXDCJZL</v>
      </c>
      <c r="L766" t="str">
        <f>"WHEUACNJGIIU"</f>
        <v>WHEUACNJGIIU</v>
      </c>
      <c r="M766">
        <v>10</v>
      </c>
      <c r="N766">
        <v>340100009</v>
      </c>
      <c r="O766" t="str">
        <f t="shared" si="273"/>
        <v>每部位</v>
      </c>
      <c r="P766" t="str">
        <f t="shared" si="270"/>
        <v>治疗费</v>
      </c>
    </row>
    <row r="767" spans="1:16">
      <c r="A767" t="str">
        <f>"低周波治疗"</f>
        <v>低周波治疗</v>
      </c>
      <c r="B767" t="str">
        <f>"340100009-a"</f>
        <v>340100009-a</v>
      </c>
      <c r="C767" t="str">
        <f t="shared" si="271"/>
        <v>其他</v>
      </c>
      <c r="D767" t="str">
        <f>"003401000090100"</f>
        <v>003401000090100</v>
      </c>
      <c r="G767">
        <v>11</v>
      </c>
      <c r="I767" t="str">
        <f t="shared" ref="I767:I772" si="274">"次"</f>
        <v>次</v>
      </c>
      <c r="K767" t="str">
        <f>"DZBZL"</f>
        <v>DZBZL</v>
      </c>
      <c r="L767" t="str">
        <f>"WMIIU"</f>
        <v>WMIIU</v>
      </c>
      <c r="M767">
        <v>11</v>
      </c>
      <c r="N767" t="str">
        <f>"340100009-a"</f>
        <v>340100009-a</v>
      </c>
      <c r="O767" t="str">
        <f t="shared" ref="O767:O772" si="275">"次"</f>
        <v>次</v>
      </c>
      <c r="P767" t="str">
        <f t="shared" si="270"/>
        <v>治疗费</v>
      </c>
    </row>
    <row r="768" spans="1:16">
      <c r="A768" t="str">
        <f>"中频脉冲电治疗"</f>
        <v>中频脉冲电治疗</v>
      </c>
      <c r="B768">
        <v>340100010</v>
      </c>
      <c r="C768" t="str">
        <f>"治疗"</f>
        <v>治疗</v>
      </c>
      <c r="D768" t="str">
        <f>"003401000100000"</f>
        <v>003401000100000</v>
      </c>
      <c r="G768">
        <v>10</v>
      </c>
      <c r="I768" t="str">
        <f>"部位"</f>
        <v>部位</v>
      </c>
      <c r="K768" t="str">
        <f>"ZPMCDZL"</f>
        <v>ZPMCDZL</v>
      </c>
      <c r="L768" t="str">
        <f>"KHEUJIU"</f>
        <v>KHEUJIU</v>
      </c>
      <c r="M768">
        <v>10</v>
      </c>
      <c r="N768">
        <v>340100010</v>
      </c>
      <c r="O768" t="str">
        <f>"每部位"</f>
        <v>每部位</v>
      </c>
      <c r="P768" t="str">
        <f t="shared" si="270"/>
        <v>治疗费</v>
      </c>
    </row>
    <row r="769" spans="1:16">
      <c r="A769" t="str">
        <f>"共鸣火花治疗"</f>
        <v>共鸣火花治疗</v>
      </c>
      <c r="B769">
        <v>340100011</v>
      </c>
      <c r="C769" t="str">
        <f t="shared" ref="C769:C775" si="276">"其他"</f>
        <v>其他</v>
      </c>
      <c r="D769" t="str">
        <f>"003401000110000"</f>
        <v>003401000110000</v>
      </c>
      <c r="G769">
        <v>5</v>
      </c>
      <c r="I769" t="str">
        <f t="shared" si="274"/>
        <v>次</v>
      </c>
      <c r="K769" t="str">
        <f>"GMHHZL"</f>
        <v>GMHHZL</v>
      </c>
      <c r="L769" t="str">
        <f>"AKOAIU"</f>
        <v>AKOAIU</v>
      </c>
      <c r="M769">
        <v>5</v>
      </c>
      <c r="N769">
        <v>340100011</v>
      </c>
      <c r="O769" t="str">
        <f t="shared" si="275"/>
        <v>次</v>
      </c>
      <c r="P769" t="str">
        <f t="shared" si="270"/>
        <v>治疗费</v>
      </c>
    </row>
    <row r="770" spans="1:16">
      <c r="A770" t="str">
        <f>"超短波治疗"</f>
        <v>超短波治疗</v>
      </c>
      <c r="B770">
        <v>340100012</v>
      </c>
      <c r="C770" t="str">
        <f t="shared" si="276"/>
        <v>其他</v>
      </c>
      <c r="D770" t="str">
        <f>"003401000120000"</f>
        <v>003401000120000</v>
      </c>
      <c r="G770">
        <v>10</v>
      </c>
      <c r="I770" t="str">
        <f>"部位"</f>
        <v>部位</v>
      </c>
      <c r="K770" t="str">
        <f>"CDBZL"</f>
        <v>CDBZL</v>
      </c>
      <c r="M770">
        <v>10</v>
      </c>
      <c r="N770">
        <v>340100012</v>
      </c>
      <c r="O770" t="str">
        <f>"每个 部位"</f>
        <v>每个 部位</v>
      </c>
      <c r="P770" t="str">
        <f t="shared" si="270"/>
        <v>治疗费</v>
      </c>
    </row>
    <row r="771" spans="1:16">
      <c r="A771" t="str">
        <f>"微波治疗"</f>
        <v>微波治疗</v>
      </c>
      <c r="B771">
        <v>340100013</v>
      </c>
      <c r="C771" t="str">
        <f t="shared" si="276"/>
        <v>其他</v>
      </c>
      <c r="D771" t="str">
        <f>"003401000130000"</f>
        <v>003401000130000</v>
      </c>
      <c r="G771">
        <v>12</v>
      </c>
      <c r="I771" t="str">
        <f>"每部位"</f>
        <v>每部位</v>
      </c>
      <c r="K771" t="str">
        <f>"WBZL"</f>
        <v>WBZL</v>
      </c>
      <c r="L771" t="str">
        <f>"TIIU"</f>
        <v>TIIU</v>
      </c>
      <c r="M771">
        <v>12</v>
      </c>
      <c r="N771">
        <v>340100013</v>
      </c>
      <c r="O771" t="str">
        <f>"每部位"</f>
        <v>每部位</v>
      </c>
      <c r="P771" t="str">
        <f t="shared" si="270"/>
        <v>治疗费</v>
      </c>
    </row>
    <row r="772" spans="1:16">
      <c r="A772" t="str">
        <f>"射频电疗"</f>
        <v>射频电疗</v>
      </c>
      <c r="B772">
        <v>340100014</v>
      </c>
      <c r="C772" t="str">
        <f t="shared" si="276"/>
        <v>其他</v>
      </c>
      <c r="D772" t="str">
        <f>"003401000140000"</f>
        <v>003401000140000</v>
      </c>
      <c r="G772">
        <v>30</v>
      </c>
      <c r="I772" t="str">
        <f t="shared" si="274"/>
        <v>次</v>
      </c>
      <c r="K772" t="str">
        <f>"SPDL"</f>
        <v>SPDL</v>
      </c>
      <c r="L772" t="str">
        <f>"THJU"</f>
        <v>THJU</v>
      </c>
      <c r="M772">
        <v>30</v>
      </c>
      <c r="N772">
        <v>340100014</v>
      </c>
      <c r="O772" t="str">
        <f t="shared" si="275"/>
        <v>次</v>
      </c>
      <c r="P772" t="str">
        <f t="shared" si="270"/>
        <v>治疗费</v>
      </c>
    </row>
    <row r="773" spans="1:16">
      <c r="A773" t="str">
        <f>"静电治疗"</f>
        <v>静电治疗</v>
      </c>
      <c r="B773">
        <v>340100015</v>
      </c>
      <c r="C773" t="str">
        <f t="shared" si="276"/>
        <v>其他</v>
      </c>
      <c r="D773" t="str">
        <f>"003401000150000"</f>
        <v>003401000150000</v>
      </c>
      <c r="G773">
        <v>20</v>
      </c>
      <c r="I773" t="str">
        <f>"半小时"</f>
        <v>半小时</v>
      </c>
      <c r="K773" t="str">
        <f>"JDZL"</f>
        <v>JDZL</v>
      </c>
      <c r="L773" t="str">
        <f>"GJIU"</f>
        <v>GJIU</v>
      </c>
      <c r="M773">
        <v>20</v>
      </c>
      <c r="N773">
        <v>340100015</v>
      </c>
      <c r="O773" t="str">
        <f>"半小时"</f>
        <v>半小时</v>
      </c>
      <c r="P773" t="str">
        <f t="shared" si="270"/>
        <v>治疗费</v>
      </c>
    </row>
    <row r="774" spans="1:16">
      <c r="A774" t="str">
        <f>"空气负离子治疗"</f>
        <v>空气负离子治疗</v>
      </c>
      <c r="B774">
        <v>340100016</v>
      </c>
      <c r="C774" t="str">
        <f t="shared" si="276"/>
        <v>其他</v>
      </c>
      <c r="D774" t="str">
        <f>"003401000160000"</f>
        <v>003401000160000</v>
      </c>
      <c r="G774">
        <v>3</v>
      </c>
      <c r="I774" t="str">
        <f t="shared" ref="I774:I779" si="277">"次"</f>
        <v>次</v>
      </c>
      <c r="K774" t="str">
        <f>"KQFLZZL"</f>
        <v>KQFLZZL</v>
      </c>
      <c r="L774" t="str">
        <f>"PRQYBIU"</f>
        <v>PRQYBIU</v>
      </c>
      <c r="M774">
        <v>3</v>
      </c>
      <c r="N774">
        <v>340100016</v>
      </c>
      <c r="O774" t="str">
        <f t="shared" ref="O774:O779" si="278">"次"</f>
        <v>次</v>
      </c>
      <c r="P774" t="str">
        <f t="shared" si="270"/>
        <v>治疗费</v>
      </c>
    </row>
    <row r="775" spans="1:16">
      <c r="A775" t="str">
        <f>"超声波治疗"</f>
        <v>超声波治疗</v>
      </c>
      <c r="B775">
        <v>340100017</v>
      </c>
      <c r="C775" t="str">
        <f t="shared" si="276"/>
        <v>其他</v>
      </c>
      <c r="D775" t="str">
        <f>"003401000170000"</f>
        <v>003401000170000</v>
      </c>
      <c r="G775">
        <v>13</v>
      </c>
      <c r="I775" t="str">
        <f t="shared" si="277"/>
        <v>次</v>
      </c>
      <c r="K775" t="str">
        <f>"CSBZL"</f>
        <v>CSBZL</v>
      </c>
      <c r="L775" t="str">
        <f>"FFIIU"</f>
        <v>FFIIU</v>
      </c>
      <c r="M775">
        <v>13</v>
      </c>
      <c r="N775">
        <v>340100017</v>
      </c>
      <c r="O775" t="str">
        <f t="shared" ref="O775:O777" si="279">"每5分钟"</f>
        <v>每5分钟</v>
      </c>
      <c r="P775" t="str">
        <f t="shared" si="270"/>
        <v>治疗费</v>
      </c>
    </row>
    <row r="776" spans="1:16">
      <c r="A776" t="str">
        <f>"超声雾化治疗"</f>
        <v>超声雾化治疗</v>
      </c>
      <c r="B776" t="str">
        <f>"340100017-1"</f>
        <v>340100017-1</v>
      </c>
      <c r="C776" t="str">
        <f>"治疗"</f>
        <v>治疗</v>
      </c>
      <c r="D776" t="str">
        <f>"003401000170000"</f>
        <v>003401000170000</v>
      </c>
      <c r="G776">
        <v>12</v>
      </c>
      <c r="I776" t="str">
        <f t="shared" si="277"/>
        <v>次</v>
      </c>
      <c r="K776" t="str">
        <f>"CSWHZL"</f>
        <v>CSWHZL</v>
      </c>
      <c r="L776" t="str">
        <f>"FFFWIU"</f>
        <v>FFFWIU</v>
      </c>
      <c r="M776">
        <v>12</v>
      </c>
      <c r="N776">
        <v>340100017</v>
      </c>
      <c r="O776" t="str">
        <f t="shared" si="279"/>
        <v>每5分钟</v>
      </c>
      <c r="P776" t="str">
        <f>"治疗费(含材料费)"</f>
        <v>治疗费(含材料费)</v>
      </c>
    </row>
    <row r="777" spans="1:16">
      <c r="A777" t="str">
        <f>"超声波治疗联合治疗加收（每5分钟）"</f>
        <v>超声波治疗联合治疗加收（每5分钟）</v>
      </c>
      <c r="B777" t="str">
        <f>"340100017-a"</f>
        <v>340100017-a</v>
      </c>
      <c r="C777" t="str">
        <f t="shared" ref="C777:C786" si="280">"其他"</f>
        <v>其他</v>
      </c>
      <c r="G777">
        <v>5</v>
      </c>
      <c r="I777" t="str">
        <f t="shared" si="277"/>
        <v>次</v>
      </c>
      <c r="K777" t="str">
        <f>"CSBZLLHZLJSM5FZ"</f>
        <v>CSBZLLHZLJSM5FZ</v>
      </c>
      <c r="L777" t="str">
        <f>"FFIIUBWIULNT5WQ"</f>
        <v>FFIIUBWIULNT5WQ</v>
      </c>
      <c r="M777">
        <v>5</v>
      </c>
      <c r="N777" t="str">
        <f>"340100017-a"</f>
        <v>340100017-a</v>
      </c>
      <c r="O777" t="str">
        <f t="shared" si="279"/>
        <v>每5分钟</v>
      </c>
      <c r="P777" t="str">
        <f t="shared" ref="P777:P786" si="281">"治疗费"</f>
        <v>治疗费</v>
      </c>
    </row>
    <row r="778" spans="1:16">
      <c r="A778" t="str">
        <f>"电子生物反馈疗法"</f>
        <v>电子生物反馈疗法</v>
      </c>
      <c r="B778">
        <v>340100018</v>
      </c>
      <c r="C778" t="str">
        <f t="shared" si="280"/>
        <v>其他</v>
      </c>
      <c r="D778" t="str">
        <f>"003401000180000"</f>
        <v>003401000180000</v>
      </c>
      <c r="G778">
        <v>23</v>
      </c>
      <c r="I778" t="str">
        <f t="shared" si="277"/>
        <v>次</v>
      </c>
      <c r="K778" t="str">
        <f>"DZSWFKLF"</f>
        <v>DZSWFKLF</v>
      </c>
      <c r="L778" t="str">
        <f>"JBTTRQUI"</f>
        <v>JBTTRQUI</v>
      </c>
      <c r="M778">
        <v>23</v>
      </c>
      <c r="N778">
        <v>340100018</v>
      </c>
      <c r="O778" t="str">
        <f t="shared" si="278"/>
        <v>次</v>
      </c>
      <c r="P778" t="str">
        <f t="shared" si="281"/>
        <v>治疗费</v>
      </c>
    </row>
    <row r="779" spans="1:16">
      <c r="A779" t="str">
        <f>"磁疗"</f>
        <v>磁疗</v>
      </c>
      <c r="B779">
        <v>340100019</v>
      </c>
      <c r="C779" t="str">
        <f t="shared" si="280"/>
        <v>其他</v>
      </c>
      <c r="D779" t="str">
        <f>"003401000190000"</f>
        <v>003401000190000</v>
      </c>
      <c r="G779">
        <v>8</v>
      </c>
      <c r="I779" t="str">
        <f t="shared" si="277"/>
        <v>次</v>
      </c>
      <c r="K779" t="str">
        <f>"CL"</f>
        <v>CL</v>
      </c>
      <c r="L779" t="str">
        <f>"DU"</f>
        <v>DU</v>
      </c>
      <c r="M779">
        <v>8</v>
      </c>
      <c r="N779">
        <v>340100019</v>
      </c>
      <c r="O779" t="str">
        <f t="shared" si="278"/>
        <v>次</v>
      </c>
      <c r="P779" t="str">
        <f t="shared" si="281"/>
        <v>治疗费</v>
      </c>
    </row>
    <row r="780" spans="1:16">
      <c r="A780" t="str">
        <f>"蜡疗"</f>
        <v>蜡疗</v>
      </c>
      <c r="B780">
        <v>340100021</v>
      </c>
      <c r="C780" t="str">
        <f t="shared" si="280"/>
        <v>其他</v>
      </c>
      <c r="D780" t="str">
        <f>"003401000210000"</f>
        <v>003401000210000</v>
      </c>
      <c r="G780">
        <v>7</v>
      </c>
      <c r="I780" t="str">
        <f t="shared" ref="I780:I783" si="282">"每部位"</f>
        <v>每部位</v>
      </c>
      <c r="K780" t="str">
        <f>"LL"</f>
        <v>LL</v>
      </c>
      <c r="L780" t="str">
        <f>"JU"</f>
        <v>JU</v>
      </c>
      <c r="M780">
        <v>7</v>
      </c>
      <c r="N780">
        <v>340100021</v>
      </c>
      <c r="O780" t="str">
        <f t="shared" ref="O780:O783" si="283">"每部位"</f>
        <v>每部位</v>
      </c>
      <c r="P780" t="str">
        <f t="shared" si="281"/>
        <v>治疗费</v>
      </c>
    </row>
    <row r="781" spans="1:16">
      <c r="A781" t="str">
        <f>"牵引"</f>
        <v>牵引</v>
      </c>
      <c r="B781">
        <v>340100023</v>
      </c>
      <c r="C781" t="str">
        <f t="shared" si="280"/>
        <v>其他</v>
      </c>
      <c r="D781" t="str">
        <f>"003401000230000"</f>
        <v>003401000230000</v>
      </c>
      <c r="G781">
        <v>35</v>
      </c>
      <c r="I781" t="str">
        <f t="shared" ref="I781:I786" si="284">"次"</f>
        <v>次</v>
      </c>
      <c r="K781" t="str">
        <f>"QY"</f>
        <v>QY</v>
      </c>
      <c r="L781" t="str">
        <f>"DX"</f>
        <v>DX</v>
      </c>
      <c r="M781">
        <v>35</v>
      </c>
      <c r="N781">
        <v>340100023</v>
      </c>
      <c r="O781" t="str">
        <f t="shared" ref="O781:O786" si="285">"次"</f>
        <v>次</v>
      </c>
      <c r="P781" t="str">
        <f t="shared" si="281"/>
        <v>治疗费</v>
      </c>
    </row>
    <row r="782" spans="1:16">
      <c r="A782" t="str">
        <f>"气压治疗"</f>
        <v>气压治疗</v>
      </c>
      <c r="B782">
        <v>340100024</v>
      </c>
      <c r="C782" t="str">
        <f t="shared" si="280"/>
        <v>其他</v>
      </c>
      <c r="D782" t="str">
        <f>"003401000240000"</f>
        <v>003401000240000</v>
      </c>
      <c r="G782">
        <v>8</v>
      </c>
      <c r="I782" t="str">
        <f t="shared" si="282"/>
        <v>每部位</v>
      </c>
      <c r="K782" t="str">
        <f>"QYZL"</f>
        <v>QYZL</v>
      </c>
      <c r="L782" t="str">
        <f>"RDIU"</f>
        <v>RDIU</v>
      </c>
      <c r="M782">
        <v>10</v>
      </c>
      <c r="N782">
        <v>340100024</v>
      </c>
      <c r="O782" t="str">
        <f t="shared" si="283"/>
        <v>每部位</v>
      </c>
      <c r="P782" t="str">
        <f t="shared" si="281"/>
        <v>治疗费</v>
      </c>
    </row>
    <row r="783" spans="1:16">
      <c r="A783" t="str">
        <f>"冷疗"</f>
        <v>冷疗</v>
      </c>
      <c r="B783">
        <v>340100025</v>
      </c>
      <c r="C783" t="str">
        <f t="shared" si="280"/>
        <v>其他</v>
      </c>
      <c r="D783" t="str">
        <f>"003401000250000"</f>
        <v>003401000250000</v>
      </c>
      <c r="G783">
        <v>5</v>
      </c>
      <c r="I783" t="str">
        <f t="shared" si="282"/>
        <v>每部位</v>
      </c>
      <c r="K783" t="str">
        <f>"LL"</f>
        <v>LL</v>
      </c>
      <c r="L783" t="str">
        <f>"UU"</f>
        <v>UU</v>
      </c>
      <c r="M783">
        <v>5</v>
      </c>
      <c r="N783">
        <v>340100025</v>
      </c>
      <c r="O783" t="str">
        <f t="shared" si="283"/>
        <v>每部位</v>
      </c>
      <c r="P783" t="str">
        <f t="shared" si="281"/>
        <v>治疗费</v>
      </c>
    </row>
    <row r="784" spans="1:16">
      <c r="A784" t="str">
        <f>"电按摩"</f>
        <v>电按摩</v>
      </c>
      <c r="B784">
        <v>340100026</v>
      </c>
      <c r="C784" t="str">
        <f t="shared" si="280"/>
        <v>其他</v>
      </c>
      <c r="D784" t="str">
        <f>"003401000260000"</f>
        <v>003401000260000</v>
      </c>
      <c r="G784">
        <v>8</v>
      </c>
      <c r="I784" t="str">
        <f t="shared" si="284"/>
        <v>次</v>
      </c>
      <c r="K784" t="str">
        <f>"DAM"</f>
        <v>DAM</v>
      </c>
      <c r="L784" t="str">
        <f>"JRY"</f>
        <v>JRY</v>
      </c>
      <c r="M784">
        <v>8</v>
      </c>
      <c r="N784">
        <v>340100026</v>
      </c>
      <c r="O784" t="str">
        <f t="shared" si="285"/>
        <v>次</v>
      </c>
      <c r="P784" t="str">
        <f t="shared" si="281"/>
        <v>治疗费</v>
      </c>
    </row>
    <row r="785" spans="1:16">
      <c r="A785" t="str">
        <f>"场效应治疗"</f>
        <v>场效应治疗</v>
      </c>
      <c r="B785">
        <v>340100027</v>
      </c>
      <c r="C785" t="str">
        <f t="shared" si="280"/>
        <v>其他</v>
      </c>
      <c r="D785" t="str">
        <f>"003401000270000"</f>
        <v>003401000270000</v>
      </c>
      <c r="G785">
        <v>5</v>
      </c>
      <c r="I785" t="str">
        <f>"每部位"</f>
        <v>每部位</v>
      </c>
      <c r="K785" t="str">
        <f>"CXYZL"</f>
        <v>CXYZL</v>
      </c>
      <c r="L785" t="str">
        <f>"FUYIU"</f>
        <v>FUYIU</v>
      </c>
      <c r="M785">
        <v>5</v>
      </c>
      <c r="N785">
        <v>340100027</v>
      </c>
      <c r="O785" t="str">
        <f>"每部位"</f>
        <v>每部位</v>
      </c>
      <c r="P785" t="str">
        <f t="shared" si="281"/>
        <v>治疗费</v>
      </c>
    </row>
    <row r="786" spans="1:16">
      <c r="A786" t="str">
        <f>"多频振动治疗"</f>
        <v>多频振动治疗</v>
      </c>
      <c r="B786">
        <v>340100028</v>
      </c>
      <c r="C786" t="str">
        <f t="shared" si="280"/>
        <v>其他</v>
      </c>
      <c r="D786" t="str">
        <f>"323401000340000"</f>
        <v>323401000340000</v>
      </c>
      <c r="G786">
        <v>40</v>
      </c>
      <c r="I786" t="str">
        <f t="shared" si="284"/>
        <v>次</v>
      </c>
      <c r="K786" t="str">
        <f>"DPZDZL"</f>
        <v>DPZDZL</v>
      </c>
      <c r="L786" t="str">
        <f>"QHRFIU"</f>
        <v>QHRFIU</v>
      </c>
      <c r="M786">
        <v>40</v>
      </c>
      <c r="N786">
        <v>340100028</v>
      </c>
      <c r="O786" t="str">
        <f t="shared" si="285"/>
        <v>次</v>
      </c>
      <c r="P786" t="str">
        <f t="shared" si="281"/>
        <v>治疗费</v>
      </c>
    </row>
    <row r="787" spans="1:16">
      <c r="A787" t="str">
        <f>"智力测试DDST"</f>
        <v>智力测试DDST</v>
      </c>
      <c r="B787" t="str">
        <f>"3402-b"</f>
        <v>3402-b</v>
      </c>
      <c r="C787" t="str">
        <f t="shared" ref="C787:C796" si="286">"检查"</f>
        <v>检查</v>
      </c>
      <c r="D787" t="str">
        <f>"323402001100000"</f>
        <v>323402001100000</v>
      </c>
      <c r="G787">
        <v>39</v>
      </c>
      <c r="I787" t="str">
        <f>"项"</f>
        <v>项</v>
      </c>
      <c r="K787" t="str">
        <f>"ZLCSDDST"</f>
        <v>ZLCSDDST</v>
      </c>
      <c r="L787" t="str">
        <f>"TLIYDDST"</f>
        <v>TLIYDDST</v>
      </c>
      <c r="M787">
        <v>45</v>
      </c>
      <c r="N787" t="str">
        <f>"3402-b"</f>
        <v>3402-b</v>
      </c>
      <c r="O787" t="str">
        <f>"项"</f>
        <v>项</v>
      </c>
      <c r="P787" t="str">
        <f t="shared" ref="P787:P796" si="287">"检查费"</f>
        <v>检查费</v>
      </c>
    </row>
    <row r="788" spans="1:16">
      <c r="A788" t="str">
        <f>"徒手平衡功能检查"</f>
        <v>徒手平衡功能检查</v>
      </c>
      <c r="B788">
        <v>340200001</v>
      </c>
      <c r="C788" t="str">
        <f t="shared" si="286"/>
        <v>检查</v>
      </c>
      <c r="D788" t="str">
        <f>"003402000010000"</f>
        <v>003402000010000</v>
      </c>
      <c r="G788">
        <v>13</v>
      </c>
      <c r="I788" t="str">
        <f t="shared" ref="I788:I796" si="288">"次"</f>
        <v>次</v>
      </c>
      <c r="K788" t="str">
        <f>"TSPHGNJC"</f>
        <v>TSPHGNJC</v>
      </c>
      <c r="L788" t="str">
        <f>"TRGTACSS"</f>
        <v>TRGTACSS</v>
      </c>
      <c r="M788">
        <v>16</v>
      </c>
      <c r="N788">
        <v>340200001</v>
      </c>
      <c r="O788" t="str">
        <f t="shared" ref="O788:O796" si="289">"次"</f>
        <v>次</v>
      </c>
      <c r="P788" t="str">
        <f t="shared" si="287"/>
        <v>检查费</v>
      </c>
    </row>
    <row r="789" spans="1:16">
      <c r="A789" t="str">
        <f>"日常生活能力评定"</f>
        <v>日常生活能力评定</v>
      </c>
      <c r="B789">
        <v>340200003</v>
      </c>
      <c r="C789" t="str">
        <f>"其他"</f>
        <v>其他</v>
      </c>
      <c r="D789" t="str">
        <f>"003402000030000"</f>
        <v>003402000030000</v>
      </c>
      <c r="G789">
        <v>13</v>
      </c>
      <c r="I789" t="str">
        <f t="shared" si="288"/>
        <v>次</v>
      </c>
      <c r="K789" t="str">
        <f>"RCSHNLPD"</f>
        <v>RCSHNLPD</v>
      </c>
      <c r="L789" t="str">
        <f>"JITICLYP"</f>
        <v>JITICLYP</v>
      </c>
      <c r="M789">
        <v>13</v>
      </c>
      <c r="N789">
        <v>340200003</v>
      </c>
      <c r="O789" t="str">
        <f t="shared" si="289"/>
        <v>次</v>
      </c>
      <c r="P789" t="str">
        <f>"治疗费"</f>
        <v>治疗费</v>
      </c>
    </row>
    <row r="790" spans="1:16">
      <c r="A790" t="str">
        <f>"疲劳度测定"</f>
        <v>疲劳度测定</v>
      </c>
      <c r="B790">
        <v>340200006</v>
      </c>
      <c r="C790" t="str">
        <f t="shared" si="286"/>
        <v>检查</v>
      </c>
      <c r="D790" t="str">
        <f>"003402000060000"</f>
        <v>003402000060000</v>
      </c>
      <c r="G790">
        <v>13</v>
      </c>
      <c r="I790" t="str">
        <f t="shared" si="288"/>
        <v>次</v>
      </c>
      <c r="K790" t="str">
        <f>"pldcd"</f>
        <v>pldcd</v>
      </c>
      <c r="M790">
        <v>16</v>
      </c>
      <c r="N790">
        <v>340200006</v>
      </c>
      <c r="O790" t="str">
        <f>"每次"</f>
        <v>每次</v>
      </c>
      <c r="P790" t="str">
        <f t="shared" si="287"/>
        <v>检查费</v>
      </c>
    </row>
    <row r="791" spans="1:16">
      <c r="A791" t="str">
        <f>"言语能力评定"</f>
        <v>言语能力评定</v>
      </c>
      <c r="B791">
        <v>340200008</v>
      </c>
      <c r="C791" t="str">
        <f t="shared" si="286"/>
        <v>检查</v>
      </c>
      <c r="D791" t="str">
        <f>"003402000080000"</f>
        <v>003402000080000</v>
      </c>
      <c r="G791">
        <v>13</v>
      </c>
      <c r="I791" t="str">
        <f t="shared" si="288"/>
        <v>次</v>
      </c>
      <c r="K791" t="str">
        <f>"YYNLPD"</f>
        <v>YYNLPD</v>
      </c>
      <c r="L791" t="str">
        <f>"YYCLYP"</f>
        <v>YYCLYP</v>
      </c>
      <c r="M791">
        <v>16</v>
      </c>
      <c r="N791">
        <v>340200008</v>
      </c>
      <c r="O791" t="str">
        <f t="shared" si="289"/>
        <v>次</v>
      </c>
      <c r="P791" t="str">
        <f t="shared" si="287"/>
        <v>检查费</v>
      </c>
    </row>
    <row r="792" spans="1:16">
      <c r="A792" t="str">
        <f>"口吃检查"</f>
        <v>口吃检查</v>
      </c>
      <c r="B792">
        <v>340200010</v>
      </c>
      <c r="C792" t="str">
        <f t="shared" si="286"/>
        <v>检查</v>
      </c>
      <c r="D792" t="str">
        <f>"003402000100000"</f>
        <v>003402000100000</v>
      </c>
      <c r="G792">
        <v>13</v>
      </c>
      <c r="I792" t="str">
        <f t="shared" si="288"/>
        <v>次</v>
      </c>
      <c r="K792" t="str">
        <f>"KCJC"</f>
        <v>KCJC</v>
      </c>
      <c r="L792" t="str">
        <f>"KKSS"</f>
        <v>KKSS</v>
      </c>
      <c r="M792">
        <v>13</v>
      </c>
      <c r="N792">
        <v>340200010</v>
      </c>
      <c r="O792" t="str">
        <f t="shared" si="289"/>
        <v>次</v>
      </c>
      <c r="P792" t="str">
        <f t="shared" si="287"/>
        <v>检查费</v>
      </c>
    </row>
    <row r="793" spans="1:16">
      <c r="A793" t="str">
        <f>"认知知觉功能检查"</f>
        <v>认知知觉功能检查</v>
      </c>
      <c r="B793">
        <v>340200012</v>
      </c>
      <c r="C793" t="str">
        <f t="shared" si="286"/>
        <v>检查</v>
      </c>
      <c r="D793" t="str">
        <f>"003402000120000"</f>
        <v>003402000120000</v>
      </c>
      <c r="G793">
        <v>13</v>
      </c>
      <c r="I793" t="str">
        <f t="shared" si="288"/>
        <v>次</v>
      </c>
      <c r="K793" t="str">
        <f>"RZZJGNJC"</f>
        <v>RZZJGNJC</v>
      </c>
      <c r="L793" t="str">
        <f>"YTTIACSS"</f>
        <v>YTTIACSS</v>
      </c>
      <c r="M793">
        <v>13</v>
      </c>
      <c r="N793">
        <v>340200012</v>
      </c>
      <c r="O793" t="str">
        <f t="shared" si="289"/>
        <v>次</v>
      </c>
      <c r="P793" t="str">
        <f t="shared" si="287"/>
        <v>检查费</v>
      </c>
    </row>
    <row r="794" spans="1:16">
      <c r="A794" t="str">
        <f>"记忆力评定"</f>
        <v>记忆力评定</v>
      </c>
      <c r="B794">
        <v>340200013</v>
      </c>
      <c r="C794" t="str">
        <f t="shared" si="286"/>
        <v>检查</v>
      </c>
      <c r="D794" t="str">
        <f>"003402000130000"</f>
        <v>003402000130000</v>
      </c>
      <c r="G794">
        <v>13</v>
      </c>
      <c r="I794" t="str">
        <f t="shared" si="288"/>
        <v>次</v>
      </c>
      <c r="K794" t="str">
        <f>"JYLPD"</f>
        <v>JYLPD</v>
      </c>
      <c r="L794" t="str">
        <f>"YNLYP"</f>
        <v>YNLYP</v>
      </c>
      <c r="M794">
        <v>13</v>
      </c>
      <c r="N794">
        <v>340200013</v>
      </c>
      <c r="O794" t="str">
        <f t="shared" si="289"/>
        <v>次</v>
      </c>
      <c r="P794" t="str">
        <f t="shared" si="287"/>
        <v>检查费</v>
      </c>
    </row>
    <row r="795" spans="1:16">
      <c r="A795" t="str">
        <f>"失认失用评定"</f>
        <v>失认失用评定</v>
      </c>
      <c r="B795">
        <v>340200014</v>
      </c>
      <c r="C795" t="str">
        <f t="shared" si="286"/>
        <v>检查</v>
      </c>
      <c r="D795" t="str">
        <f>"003402000140000"</f>
        <v>003402000140000</v>
      </c>
      <c r="G795">
        <v>13</v>
      </c>
      <c r="I795" t="str">
        <f t="shared" si="288"/>
        <v>次</v>
      </c>
      <c r="K795" t="str">
        <f>"SRSYPD"</f>
        <v>SRSYPD</v>
      </c>
      <c r="L795" t="str">
        <f>"RYREYP"</f>
        <v>RYREYP</v>
      </c>
      <c r="M795">
        <v>13</v>
      </c>
      <c r="N795">
        <v>340200014</v>
      </c>
      <c r="O795" t="str">
        <f t="shared" si="289"/>
        <v>次</v>
      </c>
      <c r="P795" t="str">
        <f t="shared" si="287"/>
        <v>检查费</v>
      </c>
    </row>
    <row r="796" spans="1:16">
      <c r="A796" t="str">
        <f>"记忆广度检查"</f>
        <v>记忆广度检查</v>
      </c>
      <c r="B796">
        <v>340200016</v>
      </c>
      <c r="C796" t="str">
        <f t="shared" si="286"/>
        <v>检查</v>
      </c>
      <c r="D796" t="str">
        <f>"003402000160000"</f>
        <v>003402000160000</v>
      </c>
      <c r="G796">
        <v>13</v>
      </c>
      <c r="I796" t="str">
        <f t="shared" si="288"/>
        <v>次</v>
      </c>
      <c r="K796" t="str">
        <f>"JYGDJC"</f>
        <v>JYGDJC</v>
      </c>
      <c r="L796" t="str">
        <f>"YNYYSS"</f>
        <v>YNYYSS</v>
      </c>
      <c r="M796">
        <v>13</v>
      </c>
      <c r="N796">
        <v>340200016</v>
      </c>
      <c r="O796" t="str">
        <f t="shared" si="289"/>
        <v>次</v>
      </c>
      <c r="P796" t="str">
        <f t="shared" si="287"/>
        <v>检查费</v>
      </c>
    </row>
    <row r="797" spans="1:16">
      <c r="A797" t="str">
        <f>"输液针"</f>
        <v>输液针</v>
      </c>
      <c r="B797" t="str">
        <f>"360100024-1"</f>
        <v>360100024-1</v>
      </c>
      <c r="C797" t="str">
        <f>"材料"</f>
        <v>材料</v>
      </c>
      <c r="D797" t="str">
        <f>"C16030103200000006290000017"</f>
        <v>C16030103200000006290000017</v>
      </c>
      <c r="G797" t="str">
        <f>"0.16"</f>
        <v>0.16</v>
      </c>
      <c r="I797" t="str">
        <f>"2205220、2205222、2206220、2206222"</f>
        <v>2205220、2205222、2206220、2206222</v>
      </c>
      <c r="K797" t="str">
        <f>"SYZ"</f>
        <v>SYZ</v>
      </c>
      <c r="L797" t="str">
        <f>"LIQ"</f>
        <v>LIQ</v>
      </c>
      <c r="M797" t="str">
        <f>"0.16"</f>
        <v>0.16</v>
      </c>
      <c r="N797" t="str">
        <f>"360100024-1"</f>
        <v>360100024-1</v>
      </c>
      <c r="O797" t="str">
        <f>"每根"</f>
        <v>每根</v>
      </c>
      <c r="P797" t="str">
        <f>"材料费"</f>
        <v>材料费</v>
      </c>
    </row>
    <row r="798" spans="1:16">
      <c r="A798" t="str">
        <f>"关节粘连传统松解术"</f>
        <v>关节粘连传统松解术</v>
      </c>
      <c r="B798">
        <v>420000011</v>
      </c>
      <c r="C798" t="str">
        <f t="shared" ref="C798:C802" si="290">"其他"</f>
        <v>其他</v>
      </c>
      <c r="G798">
        <v>162</v>
      </c>
      <c r="I798" t="str">
        <f>"次"</f>
        <v>次</v>
      </c>
      <c r="K798" t="str">
        <f>"GJZLCTSJS"</f>
        <v>GJZLCTSJS</v>
      </c>
      <c r="L798" t="str">
        <f>"UAOLWXSQS"</f>
        <v>UAOLWXSQS</v>
      </c>
      <c r="M798">
        <v>162</v>
      </c>
      <c r="N798">
        <v>420000011</v>
      </c>
      <c r="O798" t="str">
        <f t="shared" ref="O798:O802" si="291">"次"</f>
        <v>次</v>
      </c>
      <c r="P798" t="str">
        <f t="shared" ref="P798:P803" si="292">"治疗费"</f>
        <v>治疗费</v>
      </c>
    </row>
    <row r="799" spans="1:16">
      <c r="A799" t="str">
        <f>"中医定向透药疗法"</f>
        <v>中医定向透药疗法</v>
      </c>
      <c r="B799">
        <v>420000013</v>
      </c>
      <c r="C799" t="str">
        <f t="shared" si="290"/>
        <v>其他</v>
      </c>
      <c r="D799" t="str">
        <f>"004200000130000"</f>
        <v>004200000130000</v>
      </c>
      <c r="G799">
        <v>37</v>
      </c>
      <c r="I799" t="str">
        <f>"部位"</f>
        <v>部位</v>
      </c>
      <c r="K799" t="str">
        <f>"ZYDXTYLF"</f>
        <v>ZYDXTYLF</v>
      </c>
      <c r="L799" t="str">
        <f>"KAPTTAUI"</f>
        <v>KAPTTAUI</v>
      </c>
      <c r="M799">
        <v>37</v>
      </c>
      <c r="N799">
        <v>420000013</v>
      </c>
      <c r="O799" t="str">
        <f>"每部位"</f>
        <v>每部位</v>
      </c>
      <c r="P799" t="str">
        <f t="shared" si="292"/>
        <v>治疗费</v>
      </c>
    </row>
    <row r="800" spans="1:16">
      <c r="A800" t="str">
        <f>"针灸针"</f>
        <v>针灸针</v>
      </c>
      <c r="B800" t="str">
        <f>"430000005-1-1"</f>
        <v>430000005-1-1</v>
      </c>
      <c r="C800" t="str">
        <f>"材料"</f>
        <v>材料</v>
      </c>
      <c r="G800" t="str">
        <f>"0.5"</f>
        <v>0.5</v>
      </c>
      <c r="I800" t="str">
        <f>"0.3mm*50mm"</f>
        <v>0.3mm*50mm</v>
      </c>
      <c r="K800" t="str">
        <f>"ZJZ"</f>
        <v>ZJZ</v>
      </c>
      <c r="L800" t="str">
        <f>"QQQ"</f>
        <v>QQQ</v>
      </c>
      <c r="M800" t="str">
        <f>"0.5"</f>
        <v>0.5</v>
      </c>
      <c r="N800" t="str">
        <f>"430000005-1"</f>
        <v>430000005-1</v>
      </c>
      <c r="O800" t="str">
        <f>"每根"</f>
        <v>每根</v>
      </c>
      <c r="P800" t="str">
        <f>"材料费"</f>
        <v>材料费</v>
      </c>
    </row>
    <row r="801" spans="1:16">
      <c r="A801" t="str">
        <f>"中医保健配方、膏药配制费"</f>
        <v>中医保健配方、膏药配制费</v>
      </c>
      <c r="B801" t="str">
        <f>"480000003-1"</f>
        <v>480000003-1</v>
      </c>
      <c r="C801" t="str">
        <f>"治疗"</f>
        <v>治疗</v>
      </c>
      <c r="D801" t="str">
        <f>"004800000030000"</f>
        <v>004800000030000</v>
      </c>
      <c r="G801">
        <v>350</v>
      </c>
      <c r="I801" t="str">
        <f>"/"</f>
        <v>/</v>
      </c>
      <c r="K801" t="str">
        <f>"ZYBJPFGYPZF"</f>
        <v>ZYBJPFGYPZF</v>
      </c>
      <c r="L801" t="str">
        <f>"KAWWSYYASRX"</f>
        <v>KAWWSYYASRX</v>
      </c>
      <c r="M801">
        <v>350</v>
      </c>
      <c r="N801">
        <v>480000003</v>
      </c>
      <c r="O801" t="str">
        <f t="shared" si="291"/>
        <v>次</v>
      </c>
      <c r="P801" t="str">
        <f>"服务收入"</f>
        <v>服务收入</v>
      </c>
    </row>
    <row r="802" spans="1:16">
      <c r="A802" t="str">
        <f>"煎药机煎药"</f>
        <v>煎药机煎药</v>
      </c>
      <c r="B802">
        <v>480000005</v>
      </c>
      <c r="C802" t="str">
        <f t="shared" si="290"/>
        <v>其他</v>
      </c>
      <c r="D802" t="str">
        <f>"004800000050000"</f>
        <v>004800000050000</v>
      </c>
      <c r="G802">
        <v>2.2</v>
      </c>
      <c r="I802" t="str">
        <f>"次"</f>
        <v>次</v>
      </c>
      <c r="K802" t="str">
        <f>"JYJJY"</f>
        <v>JYJJY</v>
      </c>
      <c r="L802" t="str">
        <f>"UASUA"</f>
        <v>UASUA</v>
      </c>
      <c r="M802">
        <v>3</v>
      </c>
      <c r="N802">
        <v>480000005</v>
      </c>
      <c r="O802" t="str">
        <f t="shared" si="291"/>
        <v>次</v>
      </c>
      <c r="P802" t="str">
        <f t="shared" si="292"/>
        <v>治疗费</v>
      </c>
    </row>
    <row r="803" spans="1:16">
      <c r="A803" t="str">
        <f>"中医体质辨识"</f>
        <v>中医体质辨识</v>
      </c>
      <c r="B803">
        <v>480000009</v>
      </c>
      <c r="C803" t="str">
        <f>"检查"</f>
        <v>检查</v>
      </c>
      <c r="G803" t="str">
        <f t="shared" ref="G803:G818" si="293">"0"</f>
        <v>0</v>
      </c>
      <c r="I803" t="str">
        <f>"项"</f>
        <v>项</v>
      </c>
      <c r="K803" t="str">
        <f>"ZYTZBS"</f>
        <v>ZYTZBS</v>
      </c>
      <c r="L803" t="str">
        <f>"KAWRUY"</f>
        <v>KAWRUY</v>
      </c>
      <c r="M803">
        <v>150</v>
      </c>
      <c r="N803">
        <v>480000009</v>
      </c>
      <c r="O803" t="str">
        <f t="shared" ref="O803:O805" si="294">"项"</f>
        <v>项</v>
      </c>
      <c r="P803" t="str">
        <f t="shared" si="292"/>
        <v>治疗费</v>
      </c>
    </row>
    <row r="804" spans="1:16">
      <c r="A804" t="str">
        <f>"新型冠状病毒（2019-nCoV）抗原检测试剂盒（胶体金法）"</f>
        <v>新型冠状病毒（2019-nCoV）抗原检测试剂盒（胶体金法）</v>
      </c>
      <c r="B804" t="str">
        <f>"C14020227800024"</f>
        <v>C14020227800024</v>
      </c>
      <c r="C804" t="str">
        <f t="shared" ref="C804:C807" si="295">"材料"</f>
        <v>材料</v>
      </c>
      <c r="G804">
        <v>3.95</v>
      </c>
      <c r="I804" t="str">
        <f>"20人份/盒"</f>
        <v>20人份/盒</v>
      </c>
      <c r="K804" t="str">
        <f>"XXGZBD2019NCOVKY"</f>
        <v>XXGZBD2019NCOVKY</v>
      </c>
      <c r="L804" t="str">
        <f>"UGPUUG2019NCOVRD"</f>
        <v>UGPUUG2019NCOVRD</v>
      </c>
      <c r="M804">
        <v>4</v>
      </c>
      <c r="O804" t="str">
        <f t="shared" si="294"/>
        <v>项</v>
      </c>
      <c r="P804" t="str">
        <f t="shared" ref="P804:P807" si="296">"材料费"</f>
        <v>材料费</v>
      </c>
    </row>
    <row r="805" spans="1:16">
      <c r="A805" t="str">
        <f>"人免疫缺陷病毒抗体测定(Anti-HIV)（减免）"</f>
        <v>人免疫缺陷病毒抗体测定(Anti-HIV)（减免）</v>
      </c>
      <c r="B805" t="str">
        <f>"FY0061"</f>
        <v>FY0061</v>
      </c>
      <c r="C805" t="str">
        <f>"检验"</f>
        <v>检验</v>
      </c>
      <c r="G805" t="str">
        <f t="shared" si="293"/>
        <v>0</v>
      </c>
      <c r="I805" t="str">
        <f>"次"</f>
        <v>次</v>
      </c>
      <c r="K805" t="str">
        <f>"RMYQXBDKTCDANTIH"</f>
        <v>RMYQXBDKTCDANTIH</v>
      </c>
      <c r="L805" t="str">
        <f>"WQURBUGRWIPANTIH"</f>
        <v>WQURBUGRWIPANTIH</v>
      </c>
      <c r="M805">
        <v>30</v>
      </c>
      <c r="N805" t="str">
        <f>"250403019-a（JM）"</f>
        <v>250403019-a（JM）</v>
      </c>
      <c r="O805" t="str">
        <f t="shared" si="294"/>
        <v>项</v>
      </c>
      <c r="P805" t="str">
        <f>"检验费"</f>
        <v>检验费</v>
      </c>
    </row>
    <row r="806" spans="1:16">
      <c r="A806" t="str">
        <f>"无菌敷贴"</f>
        <v>无菌敷贴</v>
      </c>
      <c r="B806" t="str">
        <f>"FY0097"</f>
        <v>FY0097</v>
      </c>
      <c r="C806" t="str">
        <f t="shared" si="295"/>
        <v>材料</v>
      </c>
      <c r="D806" t="str">
        <f>"C14090200000000056890000044"</f>
        <v>C14090200000000056890000044</v>
      </c>
      <c r="G806">
        <v>2.84</v>
      </c>
      <c r="I806" t="str">
        <f>"6cm*7cm"</f>
        <v>6cm*7cm</v>
      </c>
      <c r="K806" t="str">
        <f>"WJFT"</f>
        <v>WJFT</v>
      </c>
      <c r="L806" t="str">
        <f>"FAGM"</f>
        <v>FAGM</v>
      </c>
      <c r="M806">
        <v>3</v>
      </c>
      <c r="N806" t="str">
        <f>"120400006-11"</f>
        <v>120400006-11</v>
      </c>
      <c r="O806" t="str">
        <f>"片"</f>
        <v>片</v>
      </c>
      <c r="P806" t="str">
        <f t="shared" si="296"/>
        <v>材料费</v>
      </c>
    </row>
    <row r="807" spans="1:16">
      <c r="A807" t="str">
        <f>"多乐氟氟化钠护齿剂"</f>
        <v>多乐氟氟化钠护齿剂</v>
      </c>
      <c r="B807" t="str">
        <f>"FY0103"</f>
        <v>FY0103</v>
      </c>
      <c r="C807" t="str">
        <f t="shared" si="295"/>
        <v>材料</v>
      </c>
      <c r="G807">
        <v>2.2</v>
      </c>
      <c r="I807" t="str">
        <f>"10ml"</f>
        <v>10ml</v>
      </c>
      <c r="K807" t="str">
        <f>"DLFFHNHCJ"</f>
        <v>DLFFHNHCJ</v>
      </c>
      <c r="L807" t="str">
        <f>"QQRRWQRHY"</f>
        <v>QQRRWQRHY</v>
      </c>
      <c r="M807">
        <v>2.2</v>
      </c>
      <c r="O807" t="str">
        <f>"次"</f>
        <v>次</v>
      </c>
      <c r="P807" t="str">
        <f t="shared" si="296"/>
        <v>材料费</v>
      </c>
    </row>
    <row r="808" spans="1:16">
      <c r="A808" t="str">
        <f>"上睑下垂检查(免费）"</f>
        <v>上睑下垂检查(免费）</v>
      </c>
      <c r="B808" t="str">
        <f>"FY0124"</f>
        <v>FY0124</v>
      </c>
      <c r="C808" t="str">
        <f>"治疗"</f>
        <v>治疗</v>
      </c>
      <c r="G808" t="str">
        <f t="shared" si="293"/>
        <v>0</v>
      </c>
      <c r="I808" t="str">
        <f>"次"</f>
        <v>次</v>
      </c>
      <c r="K808" t="str">
        <f>"SJXCJCMF"</f>
        <v>SJXCJCMF</v>
      </c>
      <c r="L808" t="str">
        <f>"HHGTSSQX"</f>
        <v>HHGTSSQX</v>
      </c>
      <c r="M808" t="str">
        <f t="shared" ref="M808:M818" si="297">"0"</f>
        <v>0</v>
      </c>
      <c r="N808" t="str">
        <f>"310300033（减免）"</f>
        <v>310300033（减免）</v>
      </c>
      <c r="O808" t="str">
        <f>"次"</f>
        <v>次</v>
      </c>
      <c r="P808" t="str">
        <f>"检查费"</f>
        <v>检查费</v>
      </c>
    </row>
    <row r="809" spans="1:16">
      <c r="A809" t="str">
        <f>"产前检查（免费）"</f>
        <v>产前检查（免费）</v>
      </c>
      <c r="B809" t="str">
        <f>"JM0003"</f>
        <v>JM0003</v>
      </c>
      <c r="C809" t="str">
        <f>"检查"</f>
        <v>检查</v>
      </c>
      <c r="G809" t="str">
        <f t="shared" si="293"/>
        <v>0</v>
      </c>
      <c r="I809" t="str">
        <f t="shared" ref="I809:I831" si="298">"项"</f>
        <v>项</v>
      </c>
      <c r="K809" t="str">
        <f>"CQJCMF"</f>
        <v>CQJCMF</v>
      </c>
      <c r="L809" t="str">
        <f>"UUSSQX"</f>
        <v>UUSSQX</v>
      </c>
      <c r="M809" t="str">
        <f t="shared" si="297"/>
        <v>0</v>
      </c>
      <c r="N809" t="str">
        <f>"311201023(JM)"</f>
        <v>311201023(JM)</v>
      </c>
      <c r="O809" t="str">
        <f t="shared" ref="O809:O831" si="299">"项"</f>
        <v>项</v>
      </c>
      <c r="P809" t="str">
        <f>"检查费"</f>
        <v>检查费</v>
      </c>
    </row>
    <row r="810" spans="1:16">
      <c r="A810" t="str">
        <f>"血细胞分析(五分类)(免费)"</f>
        <v>血细胞分析(五分类)(免费)</v>
      </c>
      <c r="B810" t="str">
        <f>"JM0006"</f>
        <v>JM0006</v>
      </c>
      <c r="C810" t="str">
        <f t="shared" ref="C810:C827" si="300">"检验"</f>
        <v>检验</v>
      </c>
      <c r="D810" t="str">
        <f>"002501010150000"</f>
        <v>002501010150000</v>
      </c>
      <c r="G810" t="str">
        <f t="shared" si="293"/>
        <v>0</v>
      </c>
      <c r="I810" t="str">
        <f t="shared" si="298"/>
        <v>项</v>
      </c>
      <c r="K810" t="str">
        <f>"XXBFXWFLMF"</f>
        <v>XXBFXWFLMF</v>
      </c>
      <c r="L810" t="str">
        <f>"TXEWSGWOQX"</f>
        <v>TXEWSGWOQX</v>
      </c>
      <c r="M810" t="str">
        <f t="shared" si="297"/>
        <v>0</v>
      </c>
      <c r="N810" t="str">
        <f>"250101015-b(JM)"</f>
        <v>250101015-b(JM)</v>
      </c>
      <c r="O810" t="str">
        <f t="shared" si="299"/>
        <v>项</v>
      </c>
      <c r="P810" t="str">
        <f t="shared" ref="P810:P827" si="301">"检验费"</f>
        <v>检验费</v>
      </c>
    </row>
    <row r="811" spans="1:16">
      <c r="A811" t="str">
        <f>"血清白蛋白测定（免费）"</f>
        <v>血清白蛋白测定（免费）</v>
      </c>
      <c r="B811" t="str">
        <f>"JM0009"</f>
        <v>JM0009</v>
      </c>
      <c r="C811" t="str">
        <f t="shared" si="300"/>
        <v>检验</v>
      </c>
      <c r="D811" t="str">
        <f>"002503010020000"</f>
        <v>002503010020000</v>
      </c>
      <c r="G811" t="str">
        <f t="shared" si="293"/>
        <v>0</v>
      </c>
      <c r="I811" t="str">
        <f t="shared" si="298"/>
        <v>项</v>
      </c>
      <c r="K811" t="str">
        <f>"XQBDBCDMF"</f>
        <v>XQBDBCDMF</v>
      </c>
      <c r="L811" t="str">
        <f>"TIRNRIPQX"</f>
        <v>TIRNRIPQX</v>
      </c>
      <c r="M811" t="str">
        <f t="shared" si="297"/>
        <v>0</v>
      </c>
      <c r="N811" t="str">
        <f>"250301002-a(JM)"</f>
        <v>250301002-a(JM)</v>
      </c>
      <c r="O811" t="str">
        <f t="shared" si="299"/>
        <v>项</v>
      </c>
      <c r="P811" t="str">
        <f t="shared" si="301"/>
        <v>检验费</v>
      </c>
    </row>
    <row r="812" spans="1:16">
      <c r="A812" t="str">
        <f>"血清总胆红素测定（免费）"</f>
        <v>血清总胆红素测定（免费）</v>
      </c>
      <c r="B812" t="str">
        <f>"JM0010"</f>
        <v>JM0010</v>
      </c>
      <c r="C812" t="str">
        <f t="shared" si="300"/>
        <v>检验</v>
      </c>
      <c r="G812" t="str">
        <f t="shared" si="293"/>
        <v>0</v>
      </c>
      <c r="I812" t="str">
        <f t="shared" si="298"/>
        <v>项</v>
      </c>
      <c r="K812" t="str">
        <f>"XQZDHSCDMF"</f>
        <v>XQZDHSCDMF</v>
      </c>
      <c r="L812" t="str">
        <f>"TIUEXGIPQX"</f>
        <v>TIUEXGIPQX</v>
      </c>
      <c r="M812" t="str">
        <f t="shared" si="297"/>
        <v>0</v>
      </c>
      <c r="N812" t="str">
        <f>"250305001(JM)"</f>
        <v>250305001(JM)</v>
      </c>
      <c r="O812" t="str">
        <f t="shared" si="299"/>
        <v>项</v>
      </c>
      <c r="P812" t="str">
        <f t="shared" si="301"/>
        <v>检验费</v>
      </c>
    </row>
    <row r="813" spans="1:16">
      <c r="A813" t="str">
        <f>"血清直接胆红素测定（免费）"</f>
        <v>血清直接胆红素测定（免费）</v>
      </c>
      <c r="B813" t="str">
        <f>"JM0011"</f>
        <v>JM0011</v>
      </c>
      <c r="C813" t="str">
        <f t="shared" si="300"/>
        <v>检验</v>
      </c>
      <c r="D813" t="str">
        <f>"002503050020000"</f>
        <v>002503050020000</v>
      </c>
      <c r="G813" t="str">
        <f t="shared" si="293"/>
        <v>0</v>
      </c>
      <c r="I813" t="str">
        <f t="shared" si="298"/>
        <v>项</v>
      </c>
      <c r="K813" t="str">
        <f>"XQZJDHSCDMF"</f>
        <v>XQZJDHSCDMF</v>
      </c>
      <c r="L813" t="str">
        <f>"TIFREXGIPQX"</f>
        <v>TIFREXGIPQX</v>
      </c>
      <c r="M813" t="str">
        <f t="shared" si="297"/>
        <v>0</v>
      </c>
      <c r="N813" t="str">
        <f>"250305002(JM)"</f>
        <v>250305002(JM)</v>
      </c>
      <c r="O813" t="str">
        <f t="shared" si="299"/>
        <v>项</v>
      </c>
      <c r="P813" t="str">
        <f t="shared" si="301"/>
        <v>检验费</v>
      </c>
    </row>
    <row r="814" spans="1:16">
      <c r="A814" t="str">
        <f>"血清丙氨酸氨基转移酶测定（免费）"</f>
        <v>血清丙氨酸氨基转移酶测定（免费）</v>
      </c>
      <c r="B814" t="str">
        <f>"JM0012"</f>
        <v>JM0012</v>
      </c>
      <c r="C814" t="str">
        <f t="shared" si="300"/>
        <v>检验</v>
      </c>
      <c r="D814" t="str">
        <f>"002503050070000"</f>
        <v>002503050070000</v>
      </c>
      <c r="G814" t="str">
        <f t="shared" si="293"/>
        <v>0</v>
      </c>
      <c r="I814" t="str">
        <f t="shared" si="298"/>
        <v>项</v>
      </c>
      <c r="K814" t="str">
        <f>"XQBASAJZYMCDMF"</f>
        <v>XQBASAJZYMCDMF</v>
      </c>
      <c r="L814" t="str">
        <f>"TIGRSRALTSIPQX"</f>
        <v>TIGRSRALTSIPQX</v>
      </c>
      <c r="M814" t="str">
        <f t="shared" si="297"/>
        <v>0</v>
      </c>
      <c r="N814" t="str">
        <f>"250305007(JM)"</f>
        <v>250305007(JM)</v>
      </c>
      <c r="O814" t="str">
        <f t="shared" si="299"/>
        <v>项</v>
      </c>
      <c r="P814" t="str">
        <f t="shared" si="301"/>
        <v>检验费</v>
      </c>
    </row>
    <row r="815" spans="1:16">
      <c r="A815" t="str">
        <f>"血清天门冬氨酸基转移酶测定（免费）"</f>
        <v>血清天门冬氨酸基转移酶测定（免费）</v>
      </c>
      <c r="B815" t="str">
        <f>"JM0013"</f>
        <v>JM0013</v>
      </c>
      <c r="C815" t="str">
        <f t="shared" si="300"/>
        <v>检验</v>
      </c>
      <c r="D815" t="str">
        <f>"002503050080000"</f>
        <v>002503050080000</v>
      </c>
      <c r="G815" t="str">
        <f t="shared" si="293"/>
        <v>0</v>
      </c>
      <c r="I815" t="str">
        <f t="shared" si="298"/>
        <v>项</v>
      </c>
      <c r="K815" t="str">
        <f>"XQTMDASJZYMCDMF"</f>
        <v>XQTMDASJZYMCDMF</v>
      </c>
      <c r="L815" t="str">
        <f>"TIGUTRSALTSIPQX"</f>
        <v>TIGUTRSALTSIPQX</v>
      </c>
      <c r="M815" t="str">
        <f t="shared" si="297"/>
        <v>0</v>
      </c>
      <c r="N815" t="str">
        <f>"250305008（JM）"</f>
        <v>250305008（JM）</v>
      </c>
      <c r="O815" t="str">
        <f t="shared" si="299"/>
        <v>项</v>
      </c>
      <c r="P815" t="str">
        <f t="shared" si="301"/>
        <v>检验费</v>
      </c>
    </row>
    <row r="816" spans="1:16">
      <c r="A816" t="str">
        <f>"尿素测定（免费）"</f>
        <v>尿素测定（免费）</v>
      </c>
      <c r="B816" t="str">
        <f>"JM0014"</f>
        <v>JM0014</v>
      </c>
      <c r="C816" t="str">
        <f t="shared" si="300"/>
        <v>检验</v>
      </c>
      <c r="D816" t="str">
        <f>"002503070010000"</f>
        <v>002503070010000</v>
      </c>
      <c r="G816" t="str">
        <f t="shared" si="293"/>
        <v>0</v>
      </c>
      <c r="I816" t="str">
        <f t="shared" si="298"/>
        <v>项</v>
      </c>
      <c r="K816" t="str">
        <f>"NSCDMF"</f>
        <v>NSCDMF</v>
      </c>
      <c r="L816" t="str">
        <f>"NGIPQX"</f>
        <v>NGIPQX</v>
      </c>
      <c r="M816" t="str">
        <f t="shared" si="297"/>
        <v>0</v>
      </c>
      <c r="N816" t="str">
        <f>"250307001（JM）"</f>
        <v>250307001（JM）</v>
      </c>
      <c r="O816" t="str">
        <f t="shared" si="299"/>
        <v>项</v>
      </c>
      <c r="P816" t="str">
        <f t="shared" si="301"/>
        <v>检验费</v>
      </c>
    </row>
    <row r="817" spans="1:16">
      <c r="A817" t="str">
        <f>"肌酐测定（免费）"</f>
        <v>肌酐测定（免费）</v>
      </c>
      <c r="B817" t="str">
        <f>"JM0015"</f>
        <v>JM0015</v>
      </c>
      <c r="C817" t="str">
        <f t="shared" si="300"/>
        <v>检验</v>
      </c>
      <c r="D817" t="str">
        <f>"002503070020000"</f>
        <v>002503070020000</v>
      </c>
      <c r="G817" t="str">
        <f t="shared" si="293"/>
        <v>0</v>
      </c>
      <c r="I817" t="str">
        <f t="shared" si="298"/>
        <v>项</v>
      </c>
      <c r="K817" t="str">
        <f>"JCDMF"</f>
        <v>JCDMF</v>
      </c>
      <c r="L817" t="str">
        <f>"ESIPQX"</f>
        <v>ESIPQX</v>
      </c>
      <c r="M817" t="str">
        <f t="shared" si="297"/>
        <v>0</v>
      </c>
      <c r="O817" t="str">
        <f t="shared" si="299"/>
        <v>项</v>
      </c>
      <c r="P817" t="str">
        <f t="shared" si="301"/>
        <v>检验费</v>
      </c>
    </row>
    <row r="818" spans="1:16">
      <c r="A818" t="str">
        <f>"ABO血型鉴定"</f>
        <v>ABO血型鉴定</v>
      </c>
      <c r="B818" t="str">
        <f>"JM0022"</f>
        <v>JM0022</v>
      </c>
      <c r="C818" t="str">
        <f t="shared" si="300"/>
        <v>检验</v>
      </c>
      <c r="D818" t="str">
        <f>"002600000020000"</f>
        <v>002600000020000</v>
      </c>
      <c r="G818" t="str">
        <f t="shared" si="293"/>
        <v>0</v>
      </c>
      <c r="I818" t="str">
        <f t="shared" si="298"/>
        <v>项</v>
      </c>
      <c r="K818" t="str">
        <f>"ABOXXJD"</f>
        <v>ABOXXJD</v>
      </c>
      <c r="L818" t="str">
        <f>"ABOTGJP"</f>
        <v>ABOTGJP</v>
      </c>
      <c r="M818" t="str">
        <f t="shared" si="297"/>
        <v>0</v>
      </c>
      <c r="N818" t="str">
        <f>"260000002（JM）"</f>
        <v>260000002（JM）</v>
      </c>
      <c r="O818" t="str">
        <f t="shared" si="299"/>
        <v>项</v>
      </c>
      <c r="P818" t="str">
        <f t="shared" si="301"/>
        <v>检验费</v>
      </c>
    </row>
    <row r="819" spans="1:16">
      <c r="A819" t="str">
        <f>"梅毒螺旋体特异抗体测定（凝集法）"</f>
        <v>梅毒螺旋体特异抗体测定（凝集法）</v>
      </c>
      <c r="B819" t="str">
        <f>"JM0031"</f>
        <v>JM0031</v>
      </c>
      <c r="C819" t="str">
        <f t="shared" si="300"/>
        <v>检验</v>
      </c>
      <c r="D819" t="str">
        <f>"002504030530000"</f>
        <v>002504030530000</v>
      </c>
      <c r="G819">
        <v>15</v>
      </c>
      <c r="I819" t="str">
        <f t="shared" si="298"/>
        <v>项</v>
      </c>
      <c r="K819" t="str">
        <f>"MDLXTTYKTCDNJF"</f>
        <v>MDLXTTYKTCDNJF</v>
      </c>
      <c r="L819" t="str">
        <f>"SGJYWTNRWIPUWI"</f>
        <v>SGJYWTNRWIPUWI</v>
      </c>
      <c r="M819">
        <v>15</v>
      </c>
      <c r="N819" t="str">
        <f>"250403053(JM)"</f>
        <v>250403053(JM)</v>
      </c>
      <c r="O819" t="str">
        <f t="shared" si="299"/>
        <v>项</v>
      </c>
      <c r="P819" t="str">
        <f t="shared" si="301"/>
        <v>检验费</v>
      </c>
    </row>
    <row r="820" spans="1:16">
      <c r="A820" t="str">
        <f>"乙型肝炎表面抗原测定(HBsAg)ELISA法（妇科减免）"</f>
        <v>乙型肝炎表面抗原测定(HBsAg)ELISA法（妇科减免）</v>
      </c>
      <c r="B820" t="str">
        <f>"JM0032"</f>
        <v>JM0032</v>
      </c>
      <c r="C820" t="str">
        <f t="shared" si="300"/>
        <v>检验</v>
      </c>
      <c r="D820" t="str">
        <f>"002504030040000"</f>
        <v>002504030040000</v>
      </c>
      <c r="G820" t="str">
        <f t="shared" ref="G820:G827" si="302">"0"</f>
        <v>0</v>
      </c>
      <c r="I820" t="str">
        <f t="shared" si="298"/>
        <v>项</v>
      </c>
      <c r="K820" t="str">
        <f>"YXGYBMKYCDHBSAGE"</f>
        <v>YXGYBMKYCDHBSAGE</v>
      </c>
      <c r="L820" t="str">
        <f>"NGEOGDRDIPHBSAGE"</f>
        <v>NGEOGDRDIPHBSAGE</v>
      </c>
      <c r="M820" t="str">
        <f t="shared" ref="M820:M825" si="303">"0"</f>
        <v>0</v>
      </c>
      <c r="N820" t="str">
        <f>"250403004(JM)"</f>
        <v>250403004(JM)</v>
      </c>
      <c r="O820" t="str">
        <f t="shared" si="299"/>
        <v>项</v>
      </c>
      <c r="P820" t="str">
        <f t="shared" si="301"/>
        <v>检验费</v>
      </c>
    </row>
    <row r="821" spans="1:16">
      <c r="A821" t="str">
        <f>"乙型肝炎表面抗体测定(Anti-HBs)ELISA法（妇科减免）"</f>
        <v>乙型肝炎表面抗体测定(Anti-HBs)ELISA法（妇科减免）</v>
      </c>
      <c r="B821" t="str">
        <f>"JM0033"</f>
        <v>JM0033</v>
      </c>
      <c r="C821" t="str">
        <f t="shared" si="300"/>
        <v>检验</v>
      </c>
      <c r="D821" t="str">
        <f>"002504030050000"</f>
        <v>002504030050000</v>
      </c>
      <c r="G821" t="str">
        <f t="shared" si="302"/>
        <v>0</v>
      </c>
      <c r="I821" t="str">
        <f t="shared" si="298"/>
        <v>项</v>
      </c>
      <c r="K821" t="str">
        <f>"YXGYBMKTCDANTIHB"</f>
        <v>YXGYBMKTCDANTIHB</v>
      </c>
      <c r="L821" t="str">
        <f>"NGEOGDRWIPANTIHB"</f>
        <v>NGEOGDRWIPANTIHB</v>
      </c>
      <c r="M821" t="str">
        <f t="shared" si="303"/>
        <v>0</v>
      </c>
      <c r="N821" t="str">
        <f>"250403005(JM)"</f>
        <v>250403005(JM)</v>
      </c>
      <c r="O821" t="str">
        <f t="shared" si="299"/>
        <v>项</v>
      </c>
      <c r="P821" t="str">
        <f t="shared" si="301"/>
        <v>检验费</v>
      </c>
    </row>
    <row r="822" spans="1:16">
      <c r="A822" t="str">
        <f>"乙型肝炎e抗原测定(HBeAg)（免疫学法）（妇科减免）"</f>
        <v>乙型肝炎e抗原测定(HBeAg)（免疫学法）（妇科减免）</v>
      </c>
      <c r="B822" t="str">
        <f>"JM0034"</f>
        <v>JM0034</v>
      </c>
      <c r="C822" t="str">
        <f t="shared" si="300"/>
        <v>检验</v>
      </c>
      <c r="D822" t="str">
        <f>"002504030060000"</f>
        <v>002504030060000</v>
      </c>
      <c r="G822" t="str">
        <f t="shared" si="302"/>
        <v>0</v>
      </c>
      <c r="I822" t="str">
        <f t="shared" si="298"/>
        <v>项</v>
      </c>
      <c r="K822" t="str">
        <f>"YXGYEKYCDHBEAGMY"</f>
        <v>YXGYEKYCDHBEAGMY</v>
      </c>
      <c r="L822" t="str">
        <f>"NGEOERDIPHBEAGQU"</f>
        <v>NGEOERDIPHBEAGQU</v>
      </c>
      <c r="M822" t="str">
        <f t="shared" si="303"/>
        <v>0</v>
      </c>
      <c r="N822" t="str">
        <f>"250403006(JM)"</f>
        <v>250403006(JM)</v>
      </c>
      <c r="O822" t="str">
        <f t="shared" si="299"/>
        <v>项</v>
      </c>
      <c r="P822" t="str">
        <f t="shared" si="301"/>
        <v>检验费</v>
      </c>
    </row>
    <row r="823" spans="1:16">
      <c r="A823" t="str">
        <f>"乙型肝炎e抗体测定(Anti-HBe)免疫学法（妇科减免）"</f>
        <v>乙型肝炎e抗体测定(Anti-HBe)免疫学法（妇科减免）</v>
      </c>
      <c r="B823" t="str">
        <f>"JM0035"</f>
        <v>JM0035</v>
      </c>
      <c r="C823" t="str">
        <f t="shared" si="300"/>
        <v>检验</v>
      </c>
      <c r="D823" t="str">
        <f>"002504030070000"</f>
        <v>002504030070000</v>
      </c>
      <c r="G823" t="str">
        <f t="shared" si="302"/>
        <v>0</v>
      </c>
      <c r="I823" t="str">
        <f t="shared" si="298"/>
        <v>项</v>
      </c>
      <c r="K823" t="str">
        <f>"YXGYEKTCDANTIHBE"</f>
        <v>YXGYEKTCDANTIHBE</v>
      </c>
      <c r="L823" t="str">
        <f>"NGEOERWIPANTIHBE"</f>
        <v>NGEOERWIPANTIHBE</v>
      </c>
      <c r="M823" t="str">
        <f t="shared" si="303"/>
        <v>0</v>
      </c>
      <c r="N823" t="str">
        <f>"250403007(JM)"</f>
        <v>250403007(JM)</v>
      </c>
      <c r="O823" t="str">
        <f t="shared" si="299"/>
        <v>项</v>
      </c>
      <c r="P823" t="str">
        <f t="shared" si="301"/>
        <v>检验费</v>
      </c>
    </row>
    <row r="824" spans="1:16">
      <c r="A824" t="str">
        <f>"乙型肝炎核心抗体测定(IgM)(Anti-HBc)ELISA法（妇科减免）"</f>
        <v>乙型肝炎核心抗体测定(IgM)(Anti-HBc)ELISA法（妇科减免）</v>
      </c>
      <c r="B824" t="str">
        <f>"JM0036"</f>
        <v>JM0036</v>
      </c>
      <c r="C824" t="str">
        <f t="shared" si="300"/>
        <v>检验</v>
      </c>
      <c r="G824" t="str">
        <f t="shared" si="302"/>
        <v>0</v>
      </c>
      <c r="I824" t="str">
        <f t="shared" si="298"/>
        <v>项</v>
      </c>
      <c r="K824" t="str">
        <f>"YXGYHXKTCDIGMANT"</f>
        <v>YXGYHXKTCDIGMANT</v>
      </c>
      <c r="L824" t="str">
        <f>"NGEOSNRWIPIGMANT"</f>
        <v>NGEOSNRWIPIGMANT</v>
      </c>
      <c r="M824" t="str">
        <f t="shared" si="303"/>
        <v>0</v>
      </c>
      <c r="N824" t="str">
        <f>"250403009(JM)"</f>
        <v>250403009(JM)</v>
      </c>
      <c r="O824" t="str">
        <f t="shared" si="299"/>
        <v>项</v>
      </c>
      <c r="P824" t="str">
        <f t="shared" si="301"/>
        <v>检验费</v>
      </c>
    </row>
    <row r="825" spans="1:16">
      <c r="A825" t="str">
        <f>"尿液分析（妇儿保专用）"</f>
        <v>尿液分析（妇儿保专用）</v>
      </c>
      <c r="B825" t="str">
        <f>"JM0055"</f>
        <v>JM0055</v>
      </c>
      <c r="C825" t="str">
        <f t="shared" si="300"/>
        <v>检验</v>
      </c>
      <c r="D825" t="str">
        <f>"002501020350000"</f>
        <v>002501020350000</v>
      </c>
      <c r="G825" t="str">
        <f t="shared" si="302"/>
        <v>0</v>
      </c>
      <c r="I825" t="str">
        <f t="shared" si="298"/>
        <v>项</v>
      </c>
      <c r="K825" t="str">
        <f>"NYFXFEBZY"</f>
        <v>NYFXFEBZY</v>
      </c>
      <c r="L825" t="str">
        <f>"NIWSVQWFE"</f>
        <v>NIWSVQWFE</v>
      </c>
      <c r="M825" t="str">
        <f t="shared" si="303"/>
        <v>0</v>
      </c>
      <c r="N825" t="str">
        <f>"250102035(JM)"</f>
        <v>250102035(JM)</v>
      </c>
      <c r="O825" t="str">
        <f t="shared" si="299"/>
        <v>项</v>
      </c>
      <c r="P825" t="str">
        <f t="shared" si="301"/>
        <v>检验费</v>
      </c>
    </row>
    <row r="826" spans="1:16">
      <c r="A826" t="str">
        <f>"梅毒检测（妇保专用）"</f>
        <v>梅毒检测（妇保专用）</v>
      </c>
      <c r="B826" t="str">
        <f>"JM0060"</f>
        <v>JM0060</v>
      </c>
      <c r="C826" t="str">
        <f t="shared" si="300"/>
        <v>检验</v>
      </c>
      <c r="D826" t="str">
        <f>"002504030530000"</f>
        <v>002504030530000</v>
      </c>
      <c r="G826" t="str">
        <f t="shared" si="302"/>
        <v>0</v>
      </c>
      <c r="I826" t="str">
        <f t="shared" si="298"/>
        <v>项</v>
      </c>
      <c r="K826" t="str">
        <f>"MDJCFBZY"</f>
        <v>MDJCFBZY</v>
      </c>
      <c r="L826" t="str">
        <f>"SGSIVWFE"</f>
        <v>SGSIVWFE</v>
      </c>
      <c r="M826">
        <v>15</v>
      </c>
      <c r="N826" t="str">
        <f>"250403053(JM)"</f>
        <v>250403053(JM)</v>
      </c>
      <c r="O826" t="str">
        <f t="shared" si="299"/>
        <v>项</v>
      </c>
      <c r="P826" t="str">
        <f t="shared" si="301"/>
        <v>检验费</v>
      </c>
    </row>
    <row r="827" spans="1:16">
      <c r="A827" t="str">
        <f>"阴道分泌物检查"</f>
        <v>阴道分泌物检查</v>
      </c>
      <c r="B827" t="str">
        <f>"JM0063"</f>
        <v>JM0063</v>
      </c>
      <c r="C827" t="str">
        <f t="shared" si="300"/>
        <v>检验</v>
      </c>
      <c r="G827" t="str">
        <f t="shared" si="302"/>
        <v>0</v>
      </c>
      <c r="I827" t="str">
        <f t="shared" si="298"/>
        <v>项</v>
      </c>
      <c r="K827" t="str">
        <f>"YDFMWJC"</f>
        <v>YDFMWJC</v>
      </c>
      <c r="L827" t="str">
        <f>"BUWITSS"</f>
        <v>BUWITSS</v>
      </c>
      <c r="M827" t="str">
        <f>"0"</f>
        <v>0</v>
      </c>
      <c r="N827" t="str">
        <f>"250104014(JM)"</f>
        <v>250104014(JM)</v>
      </c>
      <c r="O827" t="str">
        <f t="shared" si="299"/>
        <v>项</v>
      </c>
      <c r="P827" t="str">
        <f t="shared" si="301"/>
        <v>检验费</v>
      </c>
    </row>
    <row r="828" spans="1:16">
      <c r="A828" t="str">
        <f>"糖尿病个性服务包"</f>
        <v>糖尿病个性服务包</v>
      </c>
      <c r="B828" t="str">
        <f>"JM0068"</f>
        <v>JM0068</v>
      </c>
      <c r="C828" t="str">
        <f>"治疗"</f>
        <v>治疗</v>
      </c>
      <c r="D828" t="str">
        <f>"321110000050000"</f>
        <v>321110000050000</v>
      </c>
      <c r="G828">
        <v>60</v>
      </c>
      <c r="I828" t="str">
        <f t="shared" si="298"/>
        <v>项</v>
      </c>
      <c r="K828" t="str">
        <f>"TNBGXFWB"</f>
        <v>TNBGXFWB</v>
      </c>
      <c r="L828" t="str">
        <f>"ONUWNETQ"</f>
        <v>ONUWNETQ</v>
      </c>
      <c r="M828">
        <v>60</v>
      </c>
      <c r="O828" t="str">
        <f t="shared" si="299"/>
        <v>项</v>
      </c>
      <c r="P828" t="str">
        <f>"治疗费"</f>
        <v>治疗费</v>
      </c>
    </row>
    <row r="829" spans="1:16">
      <c r="A829" t="str">
        <f>"结合胆红素"</f>
        <v>结合胆红素</v>
      </c>
      <c r="B829" t="str">
        <f>"JM0071"</f>
        <v>JM0071</v>
      </c>
      <c r="C829" t="str">
        <f t="shared" ref="C829:C834" si="304">"检验"</f>
        <v>检验</v>
      </c>
      <c r="G829" t="str">
        <f>"0"</f>
        <v>0</v>
      </c>
      <c r="I829" t="str">
        <f t="shared" si="298"/>
        <v>项</v>
      </c>
      <c r="K829" t="str">
        <f>"JHDHS"</f>
        <v>JHDHS</v>
      </c>
      <c r="L829" t="str">
        <f>"XWEXG"</f>
        <v>XWEXG</v>
      </c>
      <c r="M829" t="str">
        <f>"0"</f>
        <v>0</v>
      </c>
      <c r="N829" t="str">
        <f>"250305003(JM)"</f>
        <v>250305003(JM)</v>
      </c>
      <c r="O829" t="str">
        <f t="shared" si="299"/>
        <v>项</v>
      </c>
      <c r="P829" t="str">
        <f t="shared" ref="P829:P834" si="305">"检验费"</f>
        <v>检验费</v>
      </c>
    </row>
    <row r="830" spans="1:16">
      <c r="A830" t="str">
        <f>"家庭医生签约基本服务包"</f>
        <v>家庭医生签约基本服务包</v>
      </c>
      <c r="B830" t="str">
        <f>"JM0072"</f>
        <v>JM0072</v>
      </c>
      <c r="C830" t="str">
        <f>"其他"</f>
        <v>其他</v>
      </c>
      <c r="D830" t="str">
        <f>"321500000140000"</f>
        <v>321500000140000</v>
      </c>
      <c r="G830">
        <v>15</v>
      </c>
      <c r="I830" t="str">
        <f t="shared" si="298"/>
        <v>项</v>
      </c>
      <c r="K830" t="str">
        <f>"JTYSQYJBFWB"</f>
        <v>JTYSQYJBFWB</v>
      </c>
      <c r="L830" t="str">
        <f>"PYATTXASETQ"</f>
        <v>PYATTXASETQ</v>
      </c>
      <c r="M830">
        <v>15</v>
      </c>
      <c r="O830" t="str">
        <f t="shared" si="299"/>
        <v>项</v>
      </c>
      <c r="P830" t="str">
        <f>"签约服务费"</f>
        <v>签约服务费</v>
      </c>
    </row>
    <row r="831" spans="1:16">
      <c r="A831" t="str">
        <f>"高血压个性服务包"</f>
        <v>高血压个性服务包</v>
      </c>
      <c r="B831" t="str">
        <f>"JM0079"</f>
        <v>JM0079</v>
      </c>
      <c r="C831" t="str">
        <f>"其他"</f>
        <v>其他</v>
      </c>
      <c r="D831" t="str">
        <f>"003302010130000"</f>
        <v>003302010130000</v>
      </c>
      <c r="G831">
        <v>60</v>
      </c>
      <c r="I831" t="str">
        <f t="shared" si="298"/>
        <v>项</v>
      </c>
      <c r="K831" t="str">
        <f>"GXYGXFWB"</f>
        <v>GXYGXFWB</v>
      </c>
      <c r="L831" t="str">
        <f>"YTDWNETQ"</f>
        <v>YTDWNETQ</v>
      </c>
      <c r="M831">
        <v>60</v>
      </c>
      <c r="O831" t="str">
        <f t="shared" si="299"/>
        <v>项</v>
      </c>
      <c r="P831" t="str">
        <f>"治疗费"</f>
        <v>治疗费</v>
      </c>
    </row>
    <row r="832" spans="1:16">
      <c r="A832" t="str">
        <f>"妇检"</f>
        <v>妇检</v>
      </c>
      <c r="B832" t="str">
        <f>"JM0082"</f>
        <v>JM0082</v>
      </c>
      <c r="C832" t="str">
        <f>"检查"</f>
        <v>检查</v>
      </c>
      <c r="D832" t="str">
        <f>"001105000010000"</f>
        <v>001105000010000</v>
      </c>
      <c r="G832">
        <v>8</v>
      </c>
      <c r="I832">
        <v>1</v>
      </c>
      <c r="K832" t="str">
        <f>"FJ"</f>
        <v>FJ</v>
      </c>
      <c r="L832" t="str">
        <f>"VS"</f>
        <v>VS</v>
      </c>
      <c r="M832">
        <v>8</v>
      </c>
      <c r="O832" t="str">
        <f t="shared" ref="O832:O845" si="306">"次"</f>
        <v>次</v>
      </c>
      <c r="P832" t="str">
        <f>"检查费"</f>
        <v>检查费</v>
      </c>
    </row>
    <row r="833" spans="1:16">
      <c r="A833" t="str">
        <f>"梅毒螺旋体特异抗体测定（生育）"</f>
        <v>梅毒螺旋体特异抗体测定（生育）</v>
      </c>
      <c r="B833" t="str">
        <f>"JM0086"</f>
        <v>JM0086</v>
      </c>
      <c r="C833" t="str">
        <f t="shared" si="304"/>
        <v>检验</v>
      </c>
      <c r="G833" t="str">
        <f t="shared" ref="G833:G844" si="307">"0"</f>
        <v>0</v>
      </c>
      <c r="I833" t="str">
        <f>"项"</f>
        <v>项</v>
      </c>
      <c r="K833" t="str">
        <f>"MDLXTTYKTCDSY"</f>
        <v>MDLXTTYKTCDSY</v>
      </c>
      <c r="L833" t="str">
        <f>"SGJYWTNRWIPTY"</f>
        <v>SGJYWTNRWIPTY</v>
      </c>
      <c r="M833">
        <v>20</v>
      </c>
      <c r="N833" t="str">
        <f>"250403053(JM)"</f>
        <v>250403053(JM)</v>
      </c>
      <c r="O833" t="str">
        <f>"项"</f>
        <v>项</v>
      </c>
      <c r="P833" t="str">
        <f t="shared" si="305"/>
        <v>检验费</v>
      </c>
    </row>
    <row r="834" spans="1:16">
      <c r="A834" t="str">
        <f>"液基薄层细胞制片术(TCT)（减免）"</f>
        <v>液基薄层细胞制片术(TCT)（减免）</v>
      </c>
      <c r="B834" t="str">
        <f>"JM0091"</f>
        <v>JM0091</v>
      </c>
      <c r="C834" t="str">
        <f t="shared" si="304"/>
        <v>检验</v>
      </c>
      <c r="D834" t="str">
        <f>"002708000040000"</f>
        <v>002708000040000</v>
      </c>
      <c r="G834">
        <v>120</v>
      </c>
      <c r="I834" t="str">
        <f t="shared" ref="I834:I845" si="308">"次"</f>
        <v>次</v>
      </c>
      <c r="K834" t="str">
        <f>"YJBCXBZPSTCTJM"</f>
        <v>YJBCXBZPSTCTJM</v>
      </c>
      <c r="L834" t="str">
        <f>"IAANXERTSTCTUQ"</f>
        <v>IAANXERTSTCTUQ</v>
      </c>
      <c r="M834">
        <v>120</v>
      </c>
      <c r="N834" t="str">
        <f>"270800007-a （JM）"</f>
        <v>270800007-a （JM）</v>
      </c>
      <c r="O834" t="str">
        <f t="shared" si="306"/>
        <v>次</v>
      </c>
      <c r="P834" t="str">
        <f t="shared" si="305"/>
        <v>检验费</v>
      </c>
    </row>
    <row r="835" spans="1:16">
      <c r="A835" t="str">
        <f>"儿童生长发育评估"</f>
        <v>儿童生长发育评估</v>
      </c>
      <c r="B835" t="str">
        <f>"JM0093"</f>
        <v>JM0093</v>
      </c>
      <c r="C835" t="str">
        <f>"检查"</f>
        <v>检查</v>
      </c>
      <c r="G835" t="str">
        <f t="shared" si="307"/>
        <v>0</v>
      </c>
      <c r="I835" t="str">
        <f>"项"</f>
        <v>项</v>
      </c>
      <c r="K835" t="str">
        <f>"ETSCFYPG"</f>
        <v>ETSCFYPG</v>
      </c>
      <c r="L835" t="str">
        <f>"QUTTNYYW"</f>
        <v>QUTTNYYW</v>
      </c>
      <c r="M835" t="str">
        <f t="shared" ref="M835:M840" si="309">"0"</f>
        <v>0</v>
      </c>
      <c r="O835" t="str">
        <f>"项"</f>
        <v>项</v>
      </c>
      <c r="P835" t="str">
        <f>"检查费"</f>
        <v>检查费</v>
      </c>
    </row>
    <row r="836" spans="1:16">
      <c r="A836" t="str">
        <f>"普通针刺(家医签约)"</f>
        <v>普通针刺(家医签约)</v>
      </c>
      <c r="B836" t="str">
        <f>"JM0117"</f>
        <v>JM0117</v>
      </c>
      <c r="C836" t="str">
        <f t="shared" ref="C836:C841" si="310">"治疗"</f>
        <v>治疗</v>
      </c>
      <c r="G836" t="str">
        <f t="shared" si="307"/>
        <v>0</v>
      </c>
      <c r="I836" t="str">
        <f t="shared" si="308"/>
        <v>次</v>
      </c>
      <c r="K836" t="str">
        <f>"PTZCJYQY"</f>
        <v>PTZCJYQY</v>
      </c>
      <c r="L836" t="str">
        <f>"UCQGPATX"</f>
        <v>UCQGPATX</v>
      </c>
      <c r="M836">
        <v>32</v>
      </c>
      <c r="O836" t="str">
        <f t="shared" si="306"/>
        <v>次</v>
      </c>
      <c r="P836" t="str">
        <f t="shared" ref="P836:P841" si="311">"治疗费"</f>
        <v>治疗费</v>
      </c>
    </row>
    <row r="837" spans="1:16">
      <c r="A837" t="str">
        <f>"拔罐疗法(家医签约)"</f>
        <v>拔罐疗法(家医签约)</v>
      </c>
      <c r="B837" t="str">
        <f>"JM0119"</f>
        <v>JM0119</v>
      </c>
      <c r="C837" t="str">
        <f t="shared" si="310"/>
        <v>治疗</v>
      </c>
      <c r="G837" t="str">
        <f t="shared" si="307"/>
        <v>0</v>
      </c>
      <c r="I837" t="str">
        <f t="shared" si="308"/>
        <v>次</v>
      </c>
      <c r="K837" t="str">
        <f>"BGLFJYQY"</f>
        <v>BGLFJYQY</v>
      </c>
      <c r="L837" t="str">
        <f>"RRUIPATX"</f>
        <v>RRUIPATX</v>
      </c>
      <c r="M837">
        <v>21</v>
      </c>
      <c r="O837" t="str">
        <f t="shared" si="306"/>
        <v>次</v>
      </c>
      <c r="P837" t="str">
        <f t="shared" si="311"/>
        <v>治疗费</v>
      </c>
    </row>
    <row r="838" spans="1:16">
      <c r="A838" t="str">
        <f>"耳针(家医签约)"</f>
        <v>耳针(家医签约)</v>
      </c>
      <c r="B838" t="str">
        <f>"JM0121"</f>
        <v>JM0121</v>
      </c>
      <c r="C838" t="str">
        <f t="shared" si="310"/>
        <v>治疗</v>
      </c>
      <c r="G838" t="str">
        <f t="shared" si="307"/>
        <v>0</v>
      </c>
      <c r="I838" t="str">
        <f t="shared" si="308"/>
        <v>次</v>
      </c>
      <c r="K838" t="str">
        <f>"EZJYQY"</f>
        <v>EZJYQY</v>
      </c>
      <c r="L838" t="str">
        <f>"BQPATX"</f>
        <v>BQPATX</v>
      </c>
      <c r="M838">
        <v>24</v>
      </c>
      <c r="O838" t="str">
        <f t="shared" si="306"/>
        <v>次</v>
      </c>
      <c r="P838" t="str">
        <f t="shared" si="311"/>
        <v>治疗费</v>
      </c>
    </row>
    <row r="839" spans="1:16">
      <c r="A839" t="str">
        <f>"磁疗（家医签约）"</f>
        <v>磁疗（家医签约）</v>
      </c>
      <c r="B839" t="str">
        <f>"JM0122"</f>
        <v>JM0122</v>
      </c>
      <c r="C839" t="str">
        <f t="shared" si="310"/>
        <v>治疗</v>
      </c>
      <c r="G839" t="str">
        <f t="shared" si="307"/>
        <v>0</v>
      </c>
      <c r="I839" t="str">
        <f t="shared" si="308"/>
        <v>次</v>
      </c>
      <c r="K839" t="str">
        <f>"CLJYQY"</f>
        <v>CLJYQY</v>
      </c>
      <c r="L839" t="str">
        <f>"DUPATX"</f>
        <v>DUPATX</v>
      </c>
      <c r="M839" t="str">
        <f t="shared" si="309"/>
        <v>0</v>
      </c>
      <c r="O839" t="str">
        <f t="shared" si="306"/>
        <v>次</v>
      </c>
      <c r="P839" t="str">
        <f t="shared" si="311"/>
        <v>治疗费</v>
      </c>
    </row>
    <row r="840" spans="1:16">
      <c r="A840" t="str">
        <f>"中药定向透药疗法（家医签约）"</f>
        <v>中药定向透药疗法（家医签约）</v>
      </c>
      <c r="B840" t="str">
        <f>"JM0123"</f>
        <v>JM0123</v>
      </c>
      <c r="C840" t="str">
        <f t="shared" si="310"/>
        <v>治疗</v>
      </c>
      <c r="G840" t="str">
        <f t="shared" si="307"/>
        <v>0</v>
      </c>
      <c r="I840" t="str">
        <f t="shared" si="308"/>
        <v>次</v>
      </c>
      <c r="K840" t="str">
        <f>"ZYDXTYLFJYQY"</f>
        <v>ZYDXTYLFJYQY</v>
      </c>
      <c r="L840" t="str">
        <f>"KAPTTAUIPATX"</f>
        <v>KAPTTAUIPATX</v>
      </c>
      <c r="M840" t="str">
        <f t="shared" si="309"/>
        <v>0</v>
      </c>
      <c r="O840" t="str">
        <f t="shared" si="306"/>
        <v>次</v>
      </c>
      <c r="P840" t="str">
        <f t="shared" si="311"/>
        <v>治疗费</v>
      </c>
    </row>
    <row r="841" spans="1:16">
      <c r="A841" t="str">
        <f>"中药熏蒸包（家医签约）"</f>
        <v>中药熏蒸包（家医签约）</v>
      </c>
      <c r="B841" t="str">
        <f>"JM0124"</f>
        <v>JM0124</v>
      </c>
      <c r="C841" t="str">
        <f t="shared" si="310"/>
        <v>治疗</v>
      </c>
      <c r="G841" t="str">
        <f t="shared" si="307"/>
        <v>0</v>
      </c>
      <c r="I841" t="str">
        <f t="shared" si="308"/>
        <v>次</v>
      </c>
      <c r="K841" t="str">
        <f>"ZYXZBJYQY"</f>
        <v>ZYXZBJYQY</v>
      </c>
      <c r="L841" t="str">
        <f>"KATAQPATX"</f>
        <v>KATAQPATX</v>
      </c>
      <c r="M841">
        <v>1</v>
      </c>
      <c r="O841" t="str">
        <f t="shared" si="306"/>
        <v>次</v>
      </c>
      <c r="P841" t="str">
        <f t="shared" si="311"/>
        <v>治疗费</v>
      </c>
    </row>
    <row r="842" spans="1:16">
      <c r="A842" t="str">
        <f>"妇检（免费）"</f>
        <v>妇检（免费）</v>
      </c>
      <c r="B842" t="str">
        <f>"JM0125"</f>
        <v>JM0125</v>
      </c>
      <c r="C842" t="str">
        <f t="shared" ref="C842:C844" si="312">"检查"</f>
        <v>检查</v>
      </c>
      <c r="G842" t="str">
        <f t="shared" si="307"/>
        <v>0</v>
      </c>
      <c r="I842" t="str">
        <f t="shared" si="308"/>
        <v>次</v>
      </c>
      <c r="K842" t="str">
        <f>"FJMF"</f>
        <v>FJMF</v>
      </c>
      <c r="L842" t="str">
        <f>"VSQX"</f>
        <v>VSQX</v>
      </c>
      <c r="M842" t="str">
        <f t="shared" ref="M842:M844" si="313">"0"</f>
        <v>0</v>
      </c>
      <c r="O842" t="str">
        <f t="shared" si="306"/>
        <v>次</v>
      </c>
      <c r="P842" t="str">
        <f t="shared" ref="P842:P844" si="314">"检查费"</f>
        <v>检查费</v>
      </c>
    </row>
    <row r="843" spans="1:16">
      <c r="A843" t="str">
        <f>"角膜知觉检查（减免）"</f>
        <v>角膜知觉检查（减免）</v>
      </c>
      <c r="B843" t="str">
        <f>"JM0149"</f>
        <v>JM0149</v>
      </c>
      <c r="C843" t="str">
        <f t="shared" si="312"/>
        <v>检查</v>
      </c>
      <c r="G843" t="str">
        <f t="shared" si="307"/>
        <v>0</v>
      </c>
      <c r="I843" t="str">
        <f t="shared" si="308"/>
        <v>次</v>
      </c>
      <c r="K843" t="str">
        <f>"JMZJJCJM"</f>
        <v>JMZJJCJM</v>
      </c>
      <c r="L843" t="str">
        <f>"QETISSUQ"</f>
        <v>QETISSUQ</v>
      </c>
      <c r="M843" t="str">
        <f t="shared" si="313"/>
        <v>0</v>
      </c>
      <c r="O843" t="str">
        <f t="shared" si="306"/>
        <v>次</v>
      </c>
      <c r="P843" t="str">
        <f t="shared" si="314"/>
        <v>检查费</v>
      </c>
    </row>
    <row r="844" spans="1:16">
      <c r="A844" t="str">
        <f>"眼底检查（减免）"</f>
        <v>眼底检查（减免）</v>
      </c>
      <c r="B844" t="str">
        <f>"JM0150"</f>
        <v>JM0150</v>
      </c>
      <c r="C844" t="str">
        <f t="shared" si="312"/>
        <v>检查</v>
      </c>
      <c r="G844" t="str">
        <f t="shared" si="307"/>
        <v>0</v>
      </c>
      <c r="I844" t="str">
        <f t="shared" si="308"/>
        <v>次</v>
      </c>
      <c r="K844" t="str">
        <f>"YDJCJM"</f>
        <v>YDJCJM</v>
      </c>
      <c r="L844" t="str">
        <f>"HYSSUQ"</f>
        <v>HYSSUQ</v>
      </c>
      <c r="M844" t="str">
        <f t="shared" si="313"/>
        <v>0</v>
      </c>
      <c r="O844" t="str">
        <f t="shared" si="306"/>
        <v>次</v>
      </c>
      <c r="P844" t="str">
        <f t="shared" si="314"/>
        <v>检查费</v>
      </c>
    </row>
    <row r="845" spans="1:16">
      <c r="A845" t="str">
        <f>"新型冠状病毒抗原检测"</f>
        <v>新型冠状病毒抗原检测</v>
      </c>
      <c r="B845" t="str">
        <f>"L250403093"</f>
        <v>L250403093</v>
      </c>
      <c r="C845" t="str">
        <f>"检验"</f>
        <v>检验</v>
      </c>
      <c r="G845">
        <v>2</v>
      </c>
      <c r="I845" t="str">
        <f t="shared" si="308"/>
        <v>次</v>
      </c>
      <c r="K845" t="str">
        <f>"XXGZBDKYJC"</f>
        <v>XXGZBDKYJC</v>
      </c>
      <c r="L845" t="str">
        <f>"UGPUUGRDSI"</f>
        <v>UGPUUGRDSI</v>
      </c>
      <c r="M845">
        <v>5</v>
      </c>
      <c r="N845" t="str">
        <f>"L250403093"</f>
        <v>L250403093</v>
      </c>
      <c r="O845" t="str">
        <f t="shared" si="306"/>
        <v>次</v>
      </c>
      <c r="P845" t="str">
        <f>"检验费"</f>
        <v>检验费</v>
      </c>
    </row>
    <row r="846" spans="1:16">
      <c r="A846" t="str">
        <f>"重组带状疱疹疫苗（欣安立适 免费）"</f>
        <v>重组带状疱疹疫苗（欣安立适 免费）</v>
      </c>
      <c r="B846" t="str">
        <f>"YM0096"</f>
        <v>YM0096</v>
      </c>
      <c r="C846" t="str">
        <f t="shared" ref="C846:C853" si="315">"其他"</f>
        <v>其他</v>
      </c>
      <c r="G846" t="str">
        <f>"0"</f>
        <v>0</v>
      </c>
      <c r="I846" t="str">
        <f t="shared" ref="I846:I849" si="316">"0.5ml"</f>
        <v>0.5ml</v>
      </c>
      <c r="K846" t="str">
        <f>"ZZDZZYMXALSMF"</f>
        <v>ZZDZZYMXALSMF</v>
      </c>
      <c r="L846" t="str">
        <f>"TXGUUUUARPUTQX"</f>
        <v>TXGUUUUARPUTQX</v>
      </c>
      <c r="M846" t="str">
        <f>"0"</f>
        <v>0</v>
      </c>
      <c r="O846" t="str">
        <f t="shared" ref="O846:O852" si="317">"支"</f>
        <v>支</v>
      </c>
      <c r="P846" t="str">
        <f t="shared" ref="P846:P852" si="318">"生物制品"</f>
        <v>生物制品</v>
      </c>
    </row>
    <row r="847" spans="1:16">
      <c r="A847" t="str">
        <f>"双价人乳头瘤病毒吸附疫苗（希瑞适 免费）"</f>
        <v>双价人乳头瘤病毒吸附疫苗（希瑞适 免费）</v>
      </c>
      <c r="B847" t="str">
        <f>"YM0097"</f>
        <v>YM0097</v>
      </c>
      <c r="C847" t="str">
        <f t="shared" si="315"/>
        <v>其他</v>
      </c>
      <c r="G847" t="str">
        <f>"0"</f>
        <v>0</v>
      </c>
      <c r="I847" t="str">
        <f t="shared" si="316"/>
        <v>0.5ml</v>
      </c>
      <c r="K847" t="str">
        <f>"SJRRTLBDXFYMXRSM"</f>
        <v>SJRRTLBDXFYMXRSM</v>
      </c>
      <c r="L847" t="str">
        <f>"CWWEUUUGKBUAQGTQ"</f>
        <v>CWWEUUUGKBUAQGTQ</v>
      </c>
      <c r="M847" t="str">
        <f>"0"</f>
        <v>0</v>
      </c>
      <c r="O847" t="str">
        <f t="shared" si="317"/>
        <v>支</v>
      </c>
      <c r="P847" t="str">
        <f t="shared" si="318"/>
        <v>生物制品</v>
      </c>
    </row>
    <row r="848" spans="1:16">
      <c r="A848" t="str">
        <f>"三价流感病毒亚单位疫苗(优惠)"</f>
        <v>三价流感病毒亚单位疫苗(优惠)</v>
      </c>
      <c r="B848" t="str">
        <f>"YM0121"</f>
        <v>YM0121</v>
      </c>
      <c r="C848" t="str">
        <f t="shared" si="315"/>
        <v>其他</v>
      </c>
      <c r="G848">
        <v>80</v>
      </c>
      <c r="I848" t="str">
        <f t="shared" si="316"/>
        <v>0.5ml</v>
      </c>
      <c r="K848" t="str">
        <f>"SJLGBDYDWYMYH"</f>
        <v>SJLGBDYDWYMYH</v>
      </c>
      <c r="L848" t="str">
        <f>"DWIDUGGUWUAWG"</f>
        <v>DWIDUGGUWUAWG</v>
      </c>
      <c r="M848">
        <v>168</v>
      </c>
      <c r="O848" t="str">
        <f t="shared" si="317"/>
        <v>支</v>
      </c>
      <c r="P848" t="str">
        <f t="shared" si="318"/>
        <v>生物制品</v>
      </c>
    </row>
    <row r="849" spans="1:16">
      <c r="A849" t="str">
        <f>"四价流感病毒亚单位疫苗(优惠)"</f>
        <v>四价流感病毒亚单位疫苗(优惠)</v>
      </c>
      <c r="B849" t="str">
        <f>"YM0122"</f>
        <v>YM0122</v>
      </c>
      <c r="C849" t="str">
        <f t="shared" si="315"/>
        <v>其他</v>
      </c>
      <c r="G849">
        <v>231</v>
      </c>
      <c r="I849" t="str">
        <f t="shared" si="316"/>
        <v>0.5ml</v>
      </c>
      <c r="K849" t="str">
        <f>"SJLGBDYDWYMYH"</f>
        <v>SJLGBDYDWYMYH</v>
      </c>
      <c r="L849" t="str">
        <f>"LWIDUGGUWUAWG"</f>
        <v>LWIDUGGUWUAWG</v>
      </c>
      <c r="M849">
        <v>231</v>
      </c>
      <c r="O849" t="str">
        <f t="shared" si="317"/>
        <v>支</v>
      </c>
      <c r="P849" t="str">
        <f t="shared" si="318"/>
        <v>生物制品</v>
      </c>
    </row>
    <row r="850" spans="1:16">
      <c r="A850" t="str">
        <f>"双价人乳头瘤病毒吸附疫苗（希瑞适 优惠）"</f>
        <v>双价人乳头瘤病毒吸附疫苗（希瑞适 优惠）</v>
      </c>
      <c r="B850" t="str">
        <f>"YM0123"</f>
        <v>YM0123</v>
      </c>
      <c r="C850" t="str">
        <f t="shared" si="315"/>
        <v>其他</v>
      </c>
      <c r="G850">
        <v>454</v>
      </c>
      <c r="I850" t="str">
        <f>"0.5 ml"</f>
        <v>0.5 ml</v>
      </c>
      <c r="K850" t="str">
        <f>"SJRRTLBDXFYMXRSY"</f>
        <v>SJRRTLBDXFYMXRSY</v>
      </c>
      <c r="L850" t="str">
        <f>"CWWEUUUGKBUAQGTW"</f>
        <v>CWWEUUUGKBUAQGTW</v>
      </c>
      <c r="M850">
        <v>517</v>
      </c>
      <c r="O850" t="str">
        <f t="shared" si="317"/>
        <v>支</v>
      </c>
      <c r="P850" t="str">
        <f t="shared" si="318"/>
        <v>生物制品</v>
      </c>
    </row>
    <row r="851" spans="1:16">
      <c r="A851" t="str">
        <f>"四价人乳头瘤病毒疫苗（佳达修 优惠）"</f>
        <v>四价人乳头瘤病毒疫苗（佳达修 优惠）</v>
      </c>
      <c r="B851" t="str">
        <f>"YM0124"</f>
        <v>YM0124</v>
      </c>
      <c r="C851" t="str">
        <f t="shared" si="315"/>
        <v>其他</v>
      </c>
      <c r="G851">
        <v>735</v>
      </c>
      <c r="I851" t="str">
        <f>"0.5 ml"</f>
        <v>0.5 ml</v>
      </c>
      <c r="K851" t="str">
        <f>"SJRRTLBDYMJDXYH"</f>
        <v>SJRRTLBDYMJDXYH</v>
      </c>
      <c r="L851" t="str">
        <f>"LWWEUUUGUAWDWWG"</f>
        <v>LWWEUUUGUAWDWWG</v>
      </c>
      <c r="M851">
        <v>735</v>
      </c>
      <c r="O851" t="str">
        <f t="shared" si="317"/>
        <v>支</v>
      </c>
      <c r="P851" t="str">
        <f t="shared" si="318"/>
        <v>生物制品</v>
      </c>
    </row>
    <row r="852" spans="1:16">
      <c r="A852" t="str">
        <f>"带状疱疹减毒活疫苗（优惠））"</f>
        <v>带状疱疹减毒活疫苗（优惠））</v>
      </c>
      <c r="B852" t="str">
        <f>"YP000012538"</f>
        <v>YP000012538</v>
      </c>
      <c r="C852" t="str">
        <f t="shared" si="315"/>
        <v>其他</v>
      </c>
      <c r="G852">
        <v>680</v>
      </c>
      <c r="I852" t="str">
        <f>"0.5ml"</f>
        <v>0.5ml</v>
      </c>
      <c r="K852" t="str">
        <f>"DZZJDHYMYH"</f>
        <v>DZZJDHYMYH</v>
      </c>
      <c r="L852" t="str">
        <f>"GUUUUGIUAWG"</f>
        <v>GUUUUGIUAWG</v>
      </c>
      <c r="M852">
        <v>680</v>
      </c>
      <c r="O852" t="str">
        <f t="shared" si="317"/>
        <v>支</v>
      </c>
      <c r="P852" t="str">
        <f t="shared" si="318"/>
        <v>生物制品</v>
      </c>
    </row>
    <row r="853" spans="1:16">
      <c r="A853" t="str">
        <f>"预防接种服务费"</f>
        <v>预防接种服务费</v>
      </c>
      <c r="B853" t="str">
        <f>"ZF0001"</f>
        <v>ZF0001</v>
      </c>
      <c r="C853" t="str">
        <f t="shared" si="315"/>
        <v>其他</v>
      </c>
      <c r="D853" t="str">
        <f>"002505010090000"</f>
        <v>002505010090000</v>
      </c>
      <c r="G853">
        <v>20</v>
      </c>
      <c r="I853">
        <v>1</v>
      </c>
      <c r="K853" t="str">
        <f>"YFJZFWF"</f>
        <v>YFJZFWF</v>
      </c>
      <c r="L853" t="str">
        <f>"CBRTETX"</f>
        <v>CBRTETX</v>
      </c>
      <c r="M853">
        <v>20</v>
      </c>
      <c r="O853" t="str">
        <f t="shared" ref="O853:O855" si="319">"次"</f>
        <v>次</v>
      </c>
      <c r="P853" t="str">
        <f>"预防接种费"</f>
        <v>预防接种费</v>
      </c>
    </row>
    <row r="854" spans="1:16">
      <c r="A854" t="str">
        <f>"体检费(Z)"</f>
        <v>体检费(Z)</v>
      </c>
      <c r="B854" t="str">
        <f>"ZF0008"</f>
        <v>ZF0008</v>
      </c>
      <c r="C854" t="str">
        <f>"检查"</f>
        <v>检查</v>
      </c>
      <c r="G854">
        <v>135</v>
      </c>
      <c r="I854" t="str">
        <f>"次"</f>
        <v>次</v>
      </c>
      <c r="K854" t="str">
        <f>"TJFZ"</f>
        <v>TJFZ</v>
      </c>
      <c r="L854" t="str">
        <f>"WSXZ"</f>
        <v>WSXZ</v>
      </c>
      <c r="M854">
        <v>999</v>
      </c>
      <c r="O854" t="str">
        <f t="shared" si="319"/>
        <v>次</v>
      </c>
      <c r="P854" t="str">
        <f>"体检费"</f>
        <v>体检费</v>
      </c>
    </row>
    <row r="855" spans="1:16">
      <c r="A855" t="str">
        <f>"体检费"</f>
        <v>体检费</v>
      </c>
      <c r="B855" t="str">
        <f>"ZF0012"</f>
        <v>ZF0012</v>
      </c>
      <c r="C855" t="str">
        <f>"检查"</f>
        <v>检查</v>
      </c>
      <c r="G855">
        <v>30</v>
      </c>
      <c r="I855" t="str">
        <f>"次"</f>
        <v>次</v>
      </c>
      <c r="K855" t="str">
        <f>"TJF"</f>
        <v>TJF</v>
      </c>
      <c r="L855" t="str">
        <f>"WSX"</f>
        <v>WSX</v>
      </c>
      <c r="M855">
        <v>99999</v>
      </c>
      <c r="O855" t="str">
        <f t="shared" si="319"/>
        <v>次</v>
      </c>
      <c r="P855" t="str">
        <f>"体检费"</f>
        <v>体检费</v>
      </c>
    </row>
    <row r="856" spans="1:16">
      <c r="A856" t="str">
        <f>"方型电极片"</f>
        <v>方型电极片</v>
      </c>
      <c r="B856" t="str">
        <f>"ZF0014"</f>
        <v>ZF0014</v>
      </c>
      <c r="C856" t="str">
        <f t="shared" ref="C856:C858" si="320">"治疗"</f>
        <v>治疗</v>
      </c>
      <c r="D856" t="str">
        <f>"C14070118300000037950000003"</f>
        <v>C14070118300000037950000003</v>
      </c>
      <c r="G856">
        <v>5</v>
      </c>
      <c r="I856" t="str">
        <f t="shared" ref="I856:I858" si="321">"对"</f>
        <v>对</v>
      </c>
      <c r="K856" t="str">
        <f>"FXDJP"</f>
        <v>FXDJP</v>
      </c>
      <c r="L856" t="str">
        <f>"YGJST"</f>
        <v>YGJST</v>
      </c>
      <c r="M856">
        <v>25.2</v>
      </c>
      <c r="N856" t="str">
        <f>"BD-HC6183273"</f>
        <v>BD-HC6183273</v>
      </c>
      <c r="O856" t="str">
        <f t="shared" ref="O856:O858" si="322">"对"</f>
        <v>对</v>
      </c>
      <c r="P856" t="str">
        <f t="shared" ref="P856:P859" si="323">"材料费"</f>
        <v>材料费</v>
      </c>
    </row>
    <row r="857" spans="1:16">
      <c r="A857" t="str">
        <f>"乳房电极片"</f>
        <v>乳房电极片</v>
      </c>
      <c r="B857" t="str">
        <f>"ZF0015"</f>
        <v>ZF0015</v>
      </c>
      <c r="C857" t="str">
        <f t="shared" si="320"/>
        <v>治疗</v>
      </c>
      <c r="D857" t="str">
        <f>"C14070118300000037950000002"</f>
        <v>C14070118300000037950000002</v>
      </c>
      <c r="G857">
        <v>18</v>
      </c>
      <c r="I857" t="str">
        <f t="shared" si="321"/>
        <v>对</v>
      </c>
      <c r="K857" t="str">
        <f>"RFDJP"</f>
        <v>RFDJP</v>
      </c>
      <c r="L857" t="str">
        <f>"EYJST"</f>
        <v>EYJST</v>
      </c>
      <c r="M857">
        <v>52.5</v>
      </c>
      <c r="N857" t="str">
        <f>"BD-HC6183280"</f>
        <v>BD-HC6183280</v>
      </c>
      <c r="O857" t="str">
        <f t="shared" si="322"/>
        <v>对</v>
      </c>
      <c r="P857" t="str">
        <f t="shared" si="323"/>
        <v>材料费</v>
      </c>
    </row>
    <row r="858" spans="1:16">
      <c r="A858" t="str">
        <f>"塑形电极片"</f>
        <v>塑形电极片</v>
      </c>
      <c r="B858" t="str">
        <f>"ZF0016"</f>
        <v>ZF0016</v>
      </c>
      <c r="C858" t="str">
        <f t="shared" si="320"/>
        <v>治疗</v>
      </c>
      <c r="D858" t="str">
        <f>"C14070318300000037950000001"</f>
        <v>C14070318300000037950000001</v>
      </c>
      <c r="G858">
        <v>17.5</v>
      </c>
      <c r="I858" t="str">
        <f t="shared" si="321"/>
        <v>对</v>
      </c>
      <c r="K858" t="str">
        <f>"SXDJP"</f>
        <v>SXDJP</v>
      </c>
      <c r="L858" t="str">
        <f>"UGJST"</f>
        <v>UGJST</v>
      </c>
      <c r="M858">
        <v>52.5</v>
      </c>
      <c r="N858" t="str">
        <f>"BD-HC6183284"</f>
        <v>BD-HC6183284</v>
      </c>
      <c r="O858" t="str">
        <f t="shared" si="322"/>
        <v>对</v>
      </c>
      <c r="P858" t="str">
        <f t="shared" si="323"/>
        <v>材料费</v>
      </c>
    </row>
    <row r="859" spans="1:16">
      <c r="A859" t="str">
        <f>"一次性使用阴道电极"</f>
        <v>一次性使用阴道电极</v>
      </c>
      <c r="B859" t="str">
        <f>"ZF0017"</f>
        <v>ZF0017</v>
      </c>
      <c r="C859" t="str">
        <f t="shared" ref="C859:C865" si="324">"材料"</f>
        <v>材料</v>
      </c>
      <c r="D859" t="str">
        <f>"C14070318300000037950000001"</f>
        <v>C14070318300000037950000001</v>
      </c>
      <c r="G859">
        <v>50</v>
      </c>
      <c r="I859" t="str">
        <f>"只"</f>
        <v>只</v>
      </c>
      <c r="K859" t="str">
        <f>"YCXSYYDDJ"</f>
        <v>YCXSYYDDJ</v>
      </c>
      <c r="L859" t="str">
        <f>"GUNWEBUJS"</f>
        <v>GUNWEBUJS</v>
      </c>
      <c r="M859">
        <v>52.5</v>
      </c>
      <c r="N859" t="str">
        <f>"BD-HC6183192"</f>
        <v>BD-HC6183192</v>
      </c>
      <c r="O859" t="str">
        <f t="shared" ref="O859:O861" si="325">"个"</f>
        <v>个</v>
      </c>
      <c r="P859" t="str">
        <f t="shared" si="323"/>
        <v>材料费</v>
      </c>
    </row>
    <row r="860" spans="1:16">
      <c r="A860" t="str">
        <f>"重复使用阴道电极"</f>
        <v>重复使用阴道电极</v>
      </c>
      <c r="B860" t="str">
        <f>"ZF0018"</f>
        <v>ZF0018</v>
      </c>
      <c r="C860" t="str">
        <f>"治疗"</f>
        <v>治疗</v>
      </c>
      <c r="D860" t="str">
        <f>"C14070318300000037950000005"</f>
        <v>C14070318300000037950000005</v>
      </c>
      <c r="G860">
        <v>220</v>
      </c>
      <c r="I860" t="str">
        <f>"个"</f>
        <v>个</v>
      </c>
      <c r="K860" t="str">
        <f>"ZFSYYDDJ"</f>
        <v>ZFSYYDDJ</v>
      </c>
      <c r="L860" t="str">
        <f>"TTWEBUJS"</f>
        <v>TTWEBUJS</v>
      </c>
      <c r="M860">
        <v>231</v>
      </c>
      <c r="N860" t="str">
        <f>"BD-HC6183208"</f>
        <v>BD-HC6183208</v>
      </c>
      <c r="O860" t="str">
        <f t="shared" si="325"/>
        <v>个</v>
      </c>
      <c r="P860" t="str">
        <f t="shared" ref="P860:P865" si="326">"治疗费(含材料费)"</f>
        <v>治疗费(含材料费)</v>
      </c>
    </row>
    <row r="861" spans="1:16">
      <c r="A861" t="str">
        <f>"盆底康复器"</f>
        <v>盆底康复器</v>
      </c>
      <c r="B861" t="str">
        <f>"ZF0019"</f>
        <v>ZF0019</v>
      </c>
      <c r="C861" t="str">
        <f t="shared" si="324"/>
        <v>材料</v>
      </c>
      <c r="D861" t="str">
        <f>"C14020200000000037950000011"</f>
        <v>C14020200000000037950000011</v>
      </c>
      <c r="G861">
        <v>62</v>
      </c>
      <c r="I861" t="str">
        <f>"个"</f>
        <v>个</v>
      </c>
      <c r="K861" t="str">
        <f>"PDKFQ"</f>
        <v>PDKFQ</v>
      </c>
      <c r="L861" t="str">
        <f>"WYYTK"</f>
        <v>WYYTK</v>
      </c>
      <c r="M861">
        <v>294</v>
      </c>
      <c r="N861" t="str">
        <f>"BD-HC6196622"</f>
        <v>BD-HC6196622</v>
      </c>
      <c r="O861" t="str">
        <f t="shared" si="325"/>
        <v>个</v>
      </c>
      <c r="P861" t="str">
        <f>"材料费"</f>
        <v>材料费</v>
      </c>
    </row>
    <row r="862" spans="1:16">
      <c r="A862" t="str">
        <f>"润滑剂"</f>
        <v>润滑剂</v>
      </c>
      <c r="B862" t="str">
        <f>"ZF0020"</f>
        <v>ZF0020</v>
      </c>
      <c r="C862" t="str">
        <f>"治疗"</f>
        <v>治疗</v>
      </c>
      <c r="D862" t="str">
        <f>"C1704012230000408024"</f>
        <v>C1704012230000408024</v>
      </c>
      <c r="G862">
        <v>30</v>
      </c>
      <c r="I862" t="str">
        <f>"支"</f>
        <v>支</v>
      </c>
      <c r="K862" t="str">
        <f>"RHJ"</f>
        <v>RHJ</v>
      </c>
      <c r="L862" t="str">
        <f>"IIY"</f>
        <v>IIY</v>
      </c>
      <c r="M862">
        <v>36.8</v>
      </c>
      <c r="N862" t="str">
        <f>"HC-BD6183280"</f>
        <v>HC-BD6183280</v>
      </c>
      <c r="O862" t="str">
        <f>"支"</f>
        <v>支</v>
      </c>
      <c r="P862" t="str">
        <f>"材料费"</f>
        <v>材料费</v>
      </c>
    </row>
    <row r="863" spans="1:16">
      <c r="A863" t="str">
        <f>"儿童体检费"</f>
        <v>儿童体检费</v>
      </c>
      <c r="B863" t="str">
        <f>"ZF0049"</f>
        <v>ZF0049</v>
      </c>
      <c r="C863" t="str">
        <f>"检查"</f>
        <v>检查</v>
      </c>
      <c r="D863" t="str">
        <f>"001105000010000"</f>
        <v>001105000010000</v>
      </c>
      <c r="G863" t="str">
        <f>"0"</f>
        <v>0</v>
      </c>
      <c r="I863" t="str">
        <f t="shared" ref="I863:I865" si="327">"项"</f>
        <v>项</v>
      </c>
      <c r="K863" t="str">
        <f>"ETTJF"</f>
        <v>ETTJF</v>
      </c>
      <c r="L863" t="str">
        <f>"QUWSX"</f>
        <v>QUWSX</v>
      </c>
      <c r="M863">
        <v>10</v>
      </c>
      <c r="N863">
        <v>130100001</v>
      </c>
      <c r="O863" t="str">
        <f>"项"</f>
        <v>项</v>
      </c>
      <c r="P863" t="str">
        <f>"检查费"</f>
        <v>检查费</v>
      </c>
    </row>
    <row r="864" spans="1:16">
      <c r="A864" t="str">
        <f>"氟保护漆"</f>
        <v>氟保护漆</v>
      </c>
      <c r="B864" t="str">
        <f>"ZF0061"</f>
        <v>ZF0061</v>
      </c>
      <c r="C864" t="str">
        <f t="shared" si="324"/>
        <v>材料</v>
      </c>
      <c r="G864">
        <v>4</v>
      </c>
      <c r="I864" t="str">
        <f t="shared" si="327"/>
        <v>项</v>
      </c>
      <c r="K864" t="str">
        <f>"FBHQ"</f>
        <v>FBHQ</v>
      </c>
      <c r="L864" t="str">
        <f>"RWRI"</f>
        <v>RWRI</v>
      </c>
      <c r="M864">
        <v>4</v>
      </c>
      <c r="O864" t="str">
        <f>"每牙"</f>
        <v>每牙</v>
      </c>
      <c r="P864" t="str">
        <f t="shared" si="326"/>
        <v>治疗费(含材料费)</v>
      </c>
    </row>
    <row r="865" spans="1:16">
      <c r="A865" t="str">
        <f>"机用镍钛锉"</f>
        <v>机用镍钛锉</v>
      </c>
      <c r="B865" t="str">
        <f>"ZF0068"</f>
        <v>ZF0068</v>
      </c>
      <c r="C865" t="str">
        <f t="shared" si="324"/>
        <v>材料</v>
      </c>
      <c r="G865">
        <v>53</v>
      </c>
      <c r="I865" t="str">
        <f t="shared" si="327"/>
        <v>项</v>
      </c>
      <c r="K865" t="str">
        <f>"JYN"</f>
        <v>JYN</v>
      </c>
      <c r="L865" t="str">
        <f>"SEQQQ"</f>
        <v>SEQQQ</v>
      </c>
      <c r="M865">
        <v>53</v>
      </c>
      <c r="O865" t="str">
        <f>"项"</f>
        <v>项</v>
      </c>
      <c r="P865" t="str">
        <f t="shared" si="326"/>
        <v>治疗费(含材料费)</v>
      </c>
    </row>
    <row r="866" spans="1:16">
      <c r="A866" t="str">
        <f>"乙型肝炎病毒(HBV-DNA)定量"</f>
        <v>乙型肝炎病毒(HBV-DNA)定量</v>
      </c>
      <c r="B866" t="str">
        <f>"ZF0087"</f>
        <v>ZF0087</v>
      </c>
      <c r="C866" t="str">
        <f>"检验"</f>
        <v>检验</v>
      </c>
      <c r="G866">
        <v>150</v>
      </c>
      <c r="I866" t="str">
        <f>"次"</f>
        <v>次</v>
      </c>
      <c r="K866" t="str">
        <f>"YXGYBDHBVDNADL"</f>
        <v>YXGYBDHBVDNADL</v>
      </c>
      <c r="L866" t="str">
        <f>"NGEOUGHBVDNAPJ"</f>
        <v>NGEOUGHBVDNAPJ</v>
      </c>
      <c r="M866">
        <v>150</v>
      </c>
      <c r="O866" t="str">
        <f>"次"</f>
        <v>次</v>
      </c>
      <c r="P866" t="str">
        <f>"检验费"</f>
        <v>检验费</v>
      </c>
    </row>
    <row r="867" spans="1:16">
      <c r="A867" t="str">
        <f>"一次性换药包"</f>
        <v>一次性换药包</v>
      </c>
      <c r="B867" t="str">
        <f>"ZF0103"</f>
        <v>ZF0103</v>
      </c>
      <c r="C867" t="str">
        <f t="shared" ref="C867:C872" si="328">"材料"</f>
        <v>材料</v>
      </c>
      <c r="D867" t="str">
        <f>"C14020200000000084050000034"</f>
        <v>C14020200000000084050000034</v>
      </c>
      <c r="G867">
        <v>5.48</v>
      </c>
      <c r="I867" t="str">
        <f>"包"</f>
        <v>包</v>
      </c>
      <c r="K867" t="str">
        <f>"YCXHYB"</f>
        <v>YCXHYB</v>
      </c>
      <c r="L867" t="str">
        <f>"GUNRAQ"</f>
        <v>GUNRAQ</v>
      </c>
      <c r="M867">
        <v>6.2</v>
      </c>
      <c r="O867" t="str">
        <f>"包"</f>
        <v>包</v>
      </c>
      <c r="P867" t="str">
        <f t="shared" ref="P867:P872" si="329">"材料费"</f>
        <v>材料费</v>
      </c>
    </row>
    <row r="868" spans="1:16">
      <c r="A868" t="str">
        <f>"商业体检费"</f>
        <v>商业体检费</v>
      </c>
      <c r="B868" t="str">
        <f>"ZF0112"</f>
        <v>ZF0112</v>
      </c>
      <c r="C868" t="str">
        <f t="shared" ref="C868:C871" si="330">"其他"</f>
        <v>其他</v>
      </c>
      <c r="G868">
        <v>92</v>
      </c>
      <c r="I868" t="str">
        <f>"次"</f>
        <v>次</v>
      </c>
      <c r="K868" t="str">
        <f>"SYTJF"</f>
        <v>SYTJF</v>
      </c>
      <c r="L868" t="str">
        <f>"UOWSX"</f>
        <v>UOWSX</v>
      </c>
      <c r="M868">
        <v>500</v>
      </c>
      <c r="O868" t="str">
        <f t="shared" ref="O868:O873" si="331">"次"</f>
        <v>次</v>
      </c>
      <c r="P868" t="str">
        <f>"检查费"</f>
        <v>检查费</v>
      </c>
    </row>
    <row r="869" spans="1:16">
      <c r="A869" t="str">
        <f>"AMH（抗苗勒氏管激素）"</f>
        <v>AMH（抗苗勒氏管激素）</v>
      </c>
      <c r="B869" t="str">
        <f>"ZF0163"</f>
        <v>ZF0163</v>
      </c>
      <c r="C869" t="str">
        <f t="shared" si="330"/>
        <v>其他</v>
      </c>
      <c r="G869">
        <v>160</v>
      </c>
      <c r="I869" t="str">
        <f t="shared" ref="I869:I874" si="332">"项"</f>
        <v>项</v>
      </c>
      <c r="K869" t="str">
        <f>"AMHKMLSGJS"</f>
        <v>AMHKMLSGJS</v>
      </c>
      <c r="L869" t="str">
        <f>"AMHRAAQTIG"</f>
        <v>AMHRAAQTIG</v>
      </c>
      <c r="M869">
        <v>300</v>
      </c>
      <c r="O869" t="str">
        <f t="shared" ref="O869:O874" si="333">"项"</f>
        <v>项</v>
      </c>
      <c r="P869" t="str">
        <f>"检验费"</f>
        <v>检验费</v>
      </c>
    </row>
    <row r="870" spans="1:16">
      <c r="A870" t="str">
        <f>"一次性使用中单"</f>
        <v>一次性使用中单</v>
      </c>
      <c r="B870" t="str">
        <f>"ZF0178"</f>
        <v>ZF0178</v>
      </c>
      <c r="C870" t="str">
        <f t="shared" si="328"/>
        <v>材料</v>
      </c>
      <c r="G870">
        <v>2.8</v>
      </c>
      <c r="I870" t="str">
        <f>"100cm*200cm"</f>
        <v>100cm*200cm</v>
      </c>
      <c r="K870" t="str">
        <f>"YCXSYZD"</f>
        <v>YCXSYZD</v>
      </c>
      <c r="L870" t="str">
        <f>"GUNWEKU"</f>
        <v>GUNWEKU</v>
      </c>
      <c r="M870">
        <v>3</v>
      </c>
      <c r="O870" t="str">
        <f>"张"</f>
        <v>张</v>
      </c>
      <c r="P870" t="str">
        <f t="shared" si="329"/>
        <v>材料费</v>
      </c>
    </row>
    <row r="871" spans="1:16">
      <c r="A871" t="str">
        <f>"省级离休干部签约费"</f>
        <v>省级离休干部签约费</v>
      </c>
      <c r="B871" t="str">
        <f>"ZF0210"</f>
        <v>ZF0210</v>
      </c>
      <c r="C871" t="str">
        <f t="shared" si="330"/>
        <v>其他</v>
      </c>
      <c r="G871">
        <v>1200</v>
      </c>
      <c r="I871" t="str">
        <f t="shared" si="332"/>
        <v>项</v>
      </c>
      <c r="K871" t="str">
        <f>"SJLXGBQYF"</f>
        <v>SJLXGBQYF</v>
      </c>
      <c r="L871" t="str">
        <f>"IXYWFUTXX"</f>
        <v>IXYWFUTXX</v>
      </c>
      <c r="M871">
        <v>1200</v>
      </c>
      <c r="O871" t="str">
        <f t="shared" si="333"/>
        <v>项</v>
      </c>
      <c r="P871" t="str">
        <f>"签约服务费"</f>
        <v>签约服务费</v>
      </c>
    </row>
    <row r="872" spans="1:16">
      <c r="A872" t="str">
        <f>"一次性使用医用检查垫"</f>
        <v>一次性使用医用检查垫</v>
      </c>
      <c r="B872" t="str">
        <f>"ZF0211"</f>
        <v>ZF0211</v>
      </c>
      <c r="C872" t="str">
        <f t="shared" si="328"/>
        <v>材料</v>
      </c>
      <c r="G872">
        <v>2.95</v>
      </c>
      <c r="I872" t="str">
        <f>"62*200cm"</f>
        <v>62*200cm</v>
      </c>
      <c r="K872" t="str">
        <f>"YCXSYYYJCD"</f>
        <v>YCXSYYYJCD</v>
      </c>
      <c r="L872" t="str">
        <f>"GUNWEAESSR"</f>
        <v>GUNWEAESSR</v>
      </c>
      <c r="M872">
        <v>4.3</v>
      </c>
      <c r="O872" t="str">
        <f t="shared" si="331"/>
        <v>次</v>
      </c>
      <c r="P872" t="str">
        <f t="shared" si="329"/>
        <v>材料费</v>
      </c>
    </row>
    <row r="873" spans="1:16">
      <c r="A873" t="str">
        <f>"预防接种服务费"</f>
        <v>预防接种服务费</v>
      </c>
      <c r="B873" t="str">
        <f>"ZF0236"</f>
        <v>ZF0236</v>
      </c>
      <c r="C873" t="str">
        <f>"其他"</f>
        <v>其他</v>
      </c>
      <c r="G873">
        <v>10</v>
      </c>
      <c r="I873" t="str">
        <f>"次"</f>
        <v>次</v>
      </c>
      <c r="K873" t="str">
        <f>"YFJZFWF"</f>
        <v>YFJZFWF</v>
      </c>
      <c r="L873" t="str">
        <f>"CBRTETX"</f>
        <v>CBRTETX</v>
      </c>
      <c r="M873">
        <v>10</v>
      </c>
      <c r="O873" t="str">
        <f t="shared" si="331"/>
        <v>次</v>
      </c>
      <c r="P873" t="str">
        <f>"预防接种费"</f>
        <v>预防接种费</v>
      </c>
    </row>
    <row r="874" spans="1:16">
      <c r="A874" t="str">
        <f>"骨龄测评"</f>
        <v>骨龄测评</v>
      </c>
      <c r="B874" t="str">
        <f>"ZF0237"</f>
        <v>ZF0237</v>
      </c>
      <c r="C874" t="str">
        <f>"检查"</f>
        <v>检查</v>
      </c>
      <c r="G874">
        <v>100</v>
      </c>
      <c r="I874" t="str">
        <f t="shared" si="332"/>
        <v>项</v>
      </c>
      <c r="K874" t="str">
        <f>"GLCP"</f>
        <v>GLCP</v>
      </c>
      <c r="L874" t="str">
        <f>"MHIY"</f>
        <v>MHIY</v>
      </c>
      <c r="M874">
        <v>100</v>
      </c>
      <c r="O874" t="str">
        <f t="shared" si="333"/>
        <v>项</v>
      </c>
      <c r="P874" t="str">
        <f>"检查费"</f>
        <v>检查费</v>
      </c>
    </row>
    <row r="875" spans="1:16">
      <c r="A875" t="str">
        <f>"一次性使用中单"</f>
        <v>一次性使用中单</v>
      </c>
      <c r="B875" t="str">
        <f>"ZF0238"</f>
        <v>ZF0238</v>
      </c>
      <c r="C875" t="str">
        <f>"材料"</f>
        <v>材料</v>
      </c>
      <c r="G875" t="str">
        <f>"0.6"</f>
        <v>0.6</v>
      </c>
      <c r="I875" t="str">
        <f>"80*100"</f>
        <v>80*100</v>
      </c>
      <c r="K875" t="str">
        <f>"YCXSYZD"</f>
        <v>YCXSYZD</v>
      </c>
      <c r="L875" t="str">
        <f>"GUNWEKU"</f>
        <v>GUNWEKU</v>
      </c>
      <c r="M875">
        <v>2.4</v>
      </c>
      <c r="O875" t="str">
        <f>"张"</f>
        <v>张</v>
      </c>
      <c r="P875" t="str">
        <f>"材料费"</f>
        <v>材料费</v>
      </c>
    </row>
    <row r="876" spans="1:16">
      <c r="A876" t="str">
        <f>"局部涂氟防龋齿治疗"</f>
        <v>局部涂氟防龋齿治疗</v>
      </c>
      <c r="B876" t="str">
        <f>"ZF0245"</f>
        <v>ZF0245</v>
      </c>
      <c r="C876" t="str">
        <f>"治疗"</f>
        <v>治疗</v>
      </c>
      <c r="G876">
        <v>1.2</v>
      </c>
      <c r="I876" t="str">
        <f>"每牙"</f>
        <v>每牙</v>
      </c>
      <c r="K876" t="str">
        <f>"JBTFFQCZL"</f>
        <v>JBTFFQCZL</v>
      </c>
      <c r="L876" t="str">
        <f>"NUIRBHHIU"</f>
        <v>NUIRBHHIU</v>
      </c>
      <c r="M876">
        <v>1.2</v>
      </c>
      <c r="O876" t="str">
        <f>"每牙"</f>
        <v>每牙</v>
      </c>
      <c r="P876" t="str">
        <f>"治疗费"</f>
        <v>治疗费</v>
      </c>
    </row>
    <row r="877" spans="1:16">
      <c r="A877" t="str">
        <f>"局部涂氟防龋齿治疗（≤6周岁）"</f>
        <v>局部涂氟防龋齿治疗（≤6周岁）</v>
      </c>
      <c r="B877" t="str">
        <f>"ZF0246"</f>
        <v>ZF0246</v>
      </c>
      <c r="C877" t="str">
        <f>"治疗"</f>
        <v>治疗</v>
      </c>
      <c r="G877">
        <v>1.6</v>
      </c>
      <c r="I877" t="str">
        <f>"每牙"</f>
        <v>每牙</v>
      </c>
      <c r="K877" t="str">
        <f>"JBTFFQCZL6ZS"</f>
        <v>JBTFFQCZL6ZS</v>
      </c>
      <c r="L877" t="str">
        <f>"NUIRBHHIU6MM"</f>
        <v>NUIRBHHIU6MM</v>
      </c>
      <c r="M877">
        <v>1.6</v>
      </c>
      <c r="O877" t="str">
        <f>"每牙"</f>
        <v>每牙</v>
      </c>
      <c r="P877" t="str">
        <f>"治疗费"</f>
        <v>治疗费</v>
      </c>
    </row>
    <row r="878" spans="1:16">
      <c r="A878" t="str">
        <f>"筛查接种费"</f>
        <v>筛查接种费</v>
      </c>
      <c r="B878" t="str">
        <f>"ZF0256"</f>
        <v>ZF0256</v>
      </c>
      <c r="C878" t="str">
        <f t="shared" ref="C878:C881" si="334">"检验"</f>
        <v>检验</v>
      </c>
      <c r="G878">
        <v>15</v>
      </c>
      <c r="I878" t="str">
        <f>"项"</f>
        <v>项</v>
      </c>
      <c r="K878" t="str">
        <f>"SCJZF"</f>
        <v>SCJZF</v>
      </c>
      <c r="L878" t="str">
        <f>"TSRTX"</f>
        <v>TSRTX</v>
      </c>
      <c r="M878">
        <v>15</v>
      </c>
      <c r="O878" t="str">
        <f>"项"</f>
        <v>项</v>
      </c>
      <c r="P878" t="str">
        <f t="shared" ref="P878:P881" si="335">"检验费"</f>
        <v>检验费</v>
      </c>
    </row>
    <row r="879" spans="1:16">
      <c r="A879" t="str">
        <f>"持续葡萄糖监测系统用传感器"</f>
        <v>持续葡萄糖监测系统用传感器</v>
      </c>
      <c r="B879" t="str">
        <f>"ZF0263"</f>
        <v>ZF0263</v>
      </c>
      <c r="C879" t="str">
        <f>"材料"</f>
        <v>材料</v>
      </c>
      <c r="G879">
        <v>650</v>
      </c>
      <c r="I879" t="str">
        <f>"个"</f>
        <v>个</v>
      </c>
      <c r="K879" t="str">
        <f>"CXPTTJCXTYCGQ"</f>
        <v>CXPTTJCXTYCGQ</v>
      </c>
      <c r="L879" t="str">
        <f>"RXAAOJITXEWDK"</f>
        <v>RXAAOJITXEWDK</v>
      </c>
      <c r="M879">
        <v>650</v>
      </c>
      <c r="O879" t="str">
        <f>"个"</f>
        <v>个</v>
      </c>
      <c r="P879" t="str">
        <f>"材料费"</f>
        <v>材料费</v>
      </c>
    </row>
    <row r="880" spans="1:16">
      <c r="A880" t="str">
        <f>"抗着丝点蛋白B抗体测定"</f>
        <v>抗着丝点蛋白B抗体测定</v>
      </c>
      <c r="B880" t="str">
        <f>"ZF0284"</f>
        <v>ZF0284</v>
      </c>
      <c r="C880" t="str">
        <f t="shared" si="334"/>
        <v>检验</v>
      </c>
      <c r="G880">
        <v>30</v>
      </c>
      <c r="I880" t="str">
        <f>"次"</f>
        <v>次</v>
      </c>
      <c r="K880" t="str">
        <f>"KZSDDBBKTCD"</f>
        <v>KZSDDBBKTCD</v>
      </c>
      <c r="L880" t="str">
        <f>"RUXHNRBRWIP"</f>
        <v>RUXHNRBRWIP</v>
      </c>
      <c r="M880">
        <v>30</v>
      </c>
      <c r="O880" t="str">
        <f t="shared" ref="O880:O882" si="336">"次"</f>
        <v>次</v>
      </c>
      <c r="P880" t="str">
        <f t="shared" si="335"/>
        <v>检验费</v>
      </c>
    </row>
    <row r="881" spans="1:16">
      <c r="A881" t="str">
        <f>"抗Ro52抗体测定"</f>
        <v>抗Ro52抗体测定</v>
      </c>
      <c r="B881" t="str">
        <f>"ZF0285"</f>
        <v>ZF0285</v>
      </c>
      <c r="C881" t="str">
        <f t="shared" si="334"/>
        <v>检验</v>
      </c>
      <c r="G881">
        <v>30</v>
      </c>
      <c r="I881" t="str">
        <f>"次"</f>
        <v>次</v>
      </c>
      <c r="K881" t="str">
        <f>"KRO52KTCD"</f>
        <v>KRO52KTCD</v>
      </c>
      <c r="L881" t="str">
        <f>"RRO52RWIP"</f>
        <v>RRO52RWIP</v>
      </c>
      <c r="M881">
        <v>30</v>
      </c>
      <c r="O881" t="str">
        <f t="shared" si="336"/>
        <v>次</v>
      </c>
      <c r="P881" t="str">
        <f t="shared" si="335"/>
        <v>检验费</v>
      </c>
    </row>
    <row r="882" spans="1:16">
      <c r="A882" t="str">
        <f>"基本公卫服务包"</f>
        <v>基本公卫服务包</v>
      </c>
      <c r="B882" t="str">
        <f>"jbgwfwb001"</f>
        <v>jbgwfwb001</v>
      </c>
      <c r="C882" t="str">
        <f>"其他"</f>
        <v>其他</v>
      </c>
      <c r="G882" t="str">
        <f>"0"</f>
        <v>0</v>
      </c>
      <c r="I882">
        <v>1</v>
      </c>
      <c r="K882" t="str">
        <f>"JBGWFWB"</f>
        <v>JBGWFWB</v>
      </c>
      <c r="L882" t="str">
        <f>"ASWBETQ"</f>
        <v>ASWBETQ</v>
      </c>
      <c r="M882" t="str">
        <f>"0"</f>
        <v>0</v>
      </c>
      <c r="O882" t="str">
        <f t="shared" si="336"/>
        <v>次</v>
      </c>
      <c r="P882" t="str">
        <f>"其他费用"</f>
        <v>其他费用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小市收费项目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2026-07-02T00:12:29Z</dcterms:created>
  <dcterms:modified xsi:type="dcterms:W3CDTF">2026-07-02T00:12:47Z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39079B63575C42F9A0BFCA3EEA5C7559_13</vt:lpwstr>
  </property>
  <property fmtid="{D5CDD505-2E9C-101B-9397-08002B2CF9AE}" pid="3" name="KSOProductBuildVer">
    <vt:lpwstr>2052-12.1.0.23125</vt:lpwstr>
  </property>
</Properties>
</file>