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收费项目" sheetId="1" r:id="rId1"/>
  </sheets>
  <calcPr calcId="144525"/>
</workbook>
</file>

<file path=xl/sharedStrings.xml><?xml version="1.0" encoding="utf-8"?>
<sst xmlns="http://schemas.openxmlformats.org/spreadsheetml/2006/main" count="18" uniqueCount="18">
  <si>
    <t>项目名称</t>
  </si>
  <si>
    <t>项目编码</t>
  </si>
  <si>
    <t>项目分类</t>
  </si>
  <si>
    <t>国家医保编码</t>
  </si>
  <si>
    <t>国家医保名称</t>
  </si>
  <si>
    <t>省医保编码</t>
  </si>
  <si>
    <t>单价</t>
  </si>
  <si>
    <t>状态</t>
  </si>
  <si>
    <t>规格</t>
  </si>
  <si>
    <t>材料编码</t>
  </si>
  <si>
    <t>拼音码</t>
  </si>
  <si>
    <t>五笔码</t>
  </si>
  <si>
    <t>单价限价</t>
  </si>
  <si>
    <t>国标码</t>
  </si>
  <si>
    <t>单位</t>
  </si>
  <si>
    <t>核算科目</t>
  </si>
  <si>
    <t>绩效科目</t>
  </si>
  <si>
    <t>自定义码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</si>
</sst>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99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6">
      <c r="A2" t="str">
        <f>"一般诊疗费(家医签约减免)"</f>
        <v>一般诊疗费(家医签约减免)</v>
      </c>
      <c r="B2" t="str">
        <f>"001101000010000"</f>
        <v>001101000010000</v>
      </c>
      <c r="C2" t="str">
        <f>"其他"</f>
        <v>其他</v>
      </c>
      <c r="G2">
        <v>9</v>
      </c>
      <c r="I2">
        <v>1</v>
      </c>
      <c r="K2" t="str">
        <f>"YBZLFJYQYJM"</f>
        <v>YBZLFJYQYJM</v>
      </c>
      <c r="L2" t="str">
        <f>"GTYUXPATXUQ"</f>
        <v>GTYUXPATXUQ</v>
      </c>
      <c r="M2">
        <v>10</v>
      </c>
      <c r="O2" t="str">
        <f>"次"</f>
        <v>次</v>
      </c>
      <c r="P2" t="str">
        <f>"一般诊疗费"</f>
        <v>一般诊疗费</v>
      </c>
    </row>
    <row r="3" spans="1:16">
      <c r="A3" t="str">
        <f>"临床量表评估（自评）-乙类评估（加收）"</f>
        <v>临床量表评估（自评）-乙类评估（加收）</v>
      </c>
      <c r="B3" t="str">
        <f>"011102010010001"</f>
        <v>011102010010001</v>
      </c>
      <c r="C3" t="str">
        <f t="shared" ref="C3:C10" si="0">"检查"</f>
        <v>检查</v>
      </c>
      <c r="G3">
        <v>5</v>
      </c>
      <c r="I3" t="str">
        <f t="shared" ref="I3:I19" si="1">"项"</f>
        <v>项</v>
      </c>
      <c r="K3" t="str">
        <f>"LCLBPGZPYLPGJS"</f>
        <v>LCLBPGZPYLPGJS</v>
      </c>
      <c r="L3" t="str">
        <f>"JYJGYWTYNOYWLN"</f>
        <v>JYJGYWTYNOYWLN</v>
      </c>
      <c r="M3">
        <v>5</v>
      </c>
      <c r="O3" t="str">
        <f t="shared" ref="O3:O10" si="2">"次 . 日"</f>
        <v>次 . 日</v>
      </c>
      <c r="P3" t="str">
        <f t="shared" ref="P3:P10" si="3">"检查费"</f>
        <v>检查费</v>
      </c>
    </row>
    <row r="4" spans="1:16">
      <c r="A4" t="str">
        <f>"临床量表评估（自评）-丙类评估（加收）"</f>
        <v>临床量表评估（自评）-丙类评估（加收）</v>
      </c>
      <c r="B4" t="str">
        <f>"011102010010002"</f>
        <v>011102010010002</v>
      </c>
      <c r="C4" t="str">
        <f t="shared" si="0"/>
        <v>检查</v>
      </c>
      <c r="G4">
        <v>14</v>
      </c>
      <c r="I4" t="str">
        <f t="shared" si="1"/>
        <v>项</v>
      </c>
      <c r="K4" t="str">
        <f>"LCLBPGZPBLPGJS"</f>
        <v>LCLBPGZPBLPGJS</v>
      </c>
      <c r="L4" t="str">
        <f>"JYJGYWTYGOYWLN"</f>
        <v>JYJGYWTYGOYWLN</v>
      </c>
      <c r="M4">
        <v>14</v>
      </c>
      <c r="O4" t="str">
        <f t="shared" si="2"/>
        <v>次 . 日</v>
      </c>
      <c r="P4" t="str">
        <f t="shared" si="3"/>
        <v>检查费</v>
      </c>
    </row>
    <row r="5" spans="1:16">
      <c r="A5" t="str">
        <f>"临床量表评估（自评）-丁类评估（加收）"</f>
        <v>临床量表评估（自评）-丁类评估（加收）</v>
      </c>
      <c r="B5" t="str">
        <f>"011102010010003"</f>
        <v>011102010010003</v>
      </c>
      <c r="C5" t="str">
        <f t="shared" si="0"/>
        <v>检查</v>
      </c>
      <c r="G5">
        <v>25</v>
      </c>
      <c r="I5" t="str">
        <f t="shared" si="1"/>
        <v>项</v>
      </c>
      <c r="K5" t="str">
        <f>"LCLBPGZPDLPGJS"</f>
        <v>LCLBPGZPDLPGJS</v>
      </c>
      <c r="L5" t="str">
        <f>"JYJGYWTYSOYWLN"</f>
        <v>JYJGYWTYSOYWLN</v>
      </c>
      <c r="M5">
        <v>25</v>
      </c>
      <c r="O5" t="str">
        <f t="shared" si="2"/>
        <v>次 . 日</v>
      </c>
      <c r="P5" t="str">
        <f t="shared" si="3"/>
        <v>检查费</v>
      </c>
    </row>
    <row r="6" spans="1:16">
      <c r="A6" t="str">
        <f>"临床量表评估（他评）"</f>
        <v>临床量表评估（他评）</v>
      </c>
      <c r="B6" t="str">
        <f>"011102010020000"</f>
        <v>011102010020000</v>
      </c>
      <c r="C6" t="str">
        <f t="shared" si="0"/>
        <v>检查</v>
      </c>
      <c r="G6">
        <v>32</v>
      </c>
      <c r="I6" t="str">
        <f t="shared" si="1"/>
        <v>项</v>
      </c>
      <c r="K6" t="str">
        <f>"LCLBPGTP"</f>
        <v>LCLBPGTP</v>
      </c>
      <c r="L6" t="str">
        <f>"JYJGYWWY"</f>
        <v>JYJGYWWY</v>
      </c>
      <c r="M6">
        <v>32</v>
      </c>
      <c r="O6" t="str">
        <f t="shared" si="2"/>
        <v>次 . 日</v>
      </c>
      <c r="P6" t="str">
        <f t="shared" si="3"/>
        <v>检查费</v>
      </c>
    </row>
    <row r="7" spans="1:16">
      <c r="A7" t="str">
        <f>"临床量表评估（他评）-乙类评估（加收）"</f>
        <v>临床量表评估（他评）-乙类评估（加收）</v>
      </c>
      <c r="B7" t="str">
        <f>"011102010020001"</f>
        <v>011102010020001</v>
      </c>
      <c r="C7" t="str">
        <f t="shared" si="0"/>
        <v>检查</v>
      </c>
      <c r="G7">
        <v>10</v>
      </c>
      <c r="I7" t="str">
        <f t="shared" si="1"/>
        <v>项</v>
      </c>
      <c r="K7" t="str">
        <f>"LCLBPGTPYLPGJS"</f>
        <v>LCLBPGTPYLPGJS</v>
      </c>
      <c r="L7" t="str">
        <f>"JYJGYWWYNOYWLN"</f>
        <v>JYJGYWWYNOYWLN</v>
      </c>
      <c r="M7">
        <v>10</v>
      </c>
      <c r="O7" t="str">
        <f t="shared" si="2"/>
        <v>次 . 日</v>
      </c>
      <c r="P7" t="str">
        <f t="shared" si="3"/>
        <v>检查费</v>
      </c>
    </row>
    <row r="8" spans="1:16">
      <c r="A8" t="str">
        <f>"临床量表评估（他评）-丙类评估（加收）"</f>
        <v>临床量表评估（他评）-丙类评估（加收）</v>
      </c>
      <c r="B8" t="str">
        <f>"011102010020002"</f>
        <v>011102010020002</v>
      </c>
      <c r="C8" t="str">
        <f t="shared" si="0"/>
        <v>检查</v>
      </c>
      <c r="G8">
        <v>28</v>
      </c>
      <c r="I8" t="str">
        <f t="shared" si="1"/>
        <v>项</v>
      </c>
      <c r="K8" t="str">
        <f>"LCLBPGTPBLPGJS"</f>
        <v>LCLBPGTPBLPGJS</v>
      </c>
      <c r="L8" t="str">
        <f>"JYJGYWWYGOYWLN"</f>
        <v>JYJGYWWYGOYWLN</v>
      </c>
      <c r="M8">
        <v>28</v>
      </c>
      <c r="O8" t="str">
        <f t="shared" si="2"/>
        <v>次 . 日</v>
      </c>
      <c r="P8" t="str">
        <f t="shared" si="3"/>
        <v>检查费</v>
      </c>
    </row>
    <row r="9" spans="1:16">
      <c r="A9" t="str">
        <f>"临床量表评估（他评）-丁类评估（加收）"</f>
        <v>临床量表评估（他评）-丁类评估（加收）</v>
      </c>
      <c r="B9" t="str">
        <f>"011102010020003"</f>
        <v>011102010020003</v>
      </c>
      <c r="C9" t="str">
        <f t="shared" si="0"/>
        <v>检查</v>
      </c>
      <c r="G9">
        <v>50</v>
      </c>
      <c r="I9" t="str">
        <f t="shared" si="1"/>
        <v>项</v>
      </c>
      <c r="K9" t="str">
        <f>"LCLBPGTPDLPGJS"</f>
        <v>LCLBPGTPDLPGJS</v>
      </c>
      <c r="L9" t="str">
        <f>"JYJGYWWYSOYWLN"</f>
        <v>JYJGYWWYSOYWLN</v>
      </c>
      <c r="M9">
        <v>50</v>
      </c>
      <c r="O9" t="str">
        <f t="shared" si="2"/>
        <v>次 . 日</v>
      </c>
      <c r="P9" t="str">
        <f t="shared" si="3"/>
        <v>检查费</v>
      </c>
    </row>
    <row r="10" spans="1:16">
      <c r="A10" t="str">
        <f>"临床量表评估（他评）-儿童评估（扩展）"</f>
        <v>临床量表评估（他评）-儿童评估（扩展）</v>
      </c>
      <c r="B10" t="str">
        <f>"011102010020200"</f>
        <v>011102010020200</v>
      </c>
      <c r="C10" t="str">
        <f t="shared" si="0"/>
        <v>检查</v>
      </c>
      <c r="G10">
        <v>32</v>
      </c>
      <c r="I10" t="str">
        <f t="shared" si="1"/>
        <v>项</v>
      </c>
      <c r="K10" t="str">
        <f>"LCLBPGTPETPGKZ"</f>
        <v>LCLBPGTPETPGKZ</v>
      </c>
      <c r="L10" t="str">
        <f>"JYJGYWWYQUYWRN"</f>
        <v>JYJGYWWYQUYWRN</v>
      </c>
      <c r="M10">
        <v>32</v>
      </c>
      <c r="O10" t="str">
        <f t="shared" si="2"/>
        <v>次 . 日</v>
      </c>
      <c r="P10" t="str">
        <f t="shared" si="3"/>
        <v>检查费</v>
      </c>
    </row>
    <row r="11" spans="1:16">
      <c r="A11" t="str">
        <f>"Ⅰ级护理"</f>
        <v>Ⅰ级护理</v>
      </c>
      <c r="B11" t="str">
        <f>"011301000020000"</f>
        <v>011301000020000</v>
      </c>
      <c r="C11" t="str">
        <f t="shared" ref="C11:C15" si="4">"护理"</f>
        <v>护理</v>
      </c>
      <c r="G11">
        <v>65</v>
      </c>
      <c r="I11" t="str">
        <f t="shared" si="1"/>
        <v>项</v>
      </c>
      <c r="K11" t="str">
        <f t="shared" ref="K11:K13" si="5">"JHL"</f>
        <v>JHL</v>
      </c>
      <c r="L11" t="str">
        <f t="shared" ref="L11:L13" si="6">"XRG"</f>
        <v>XRG</v>
      </c>
      <c r="M11">
        <v>65</v>
      </c>
      <c r="O11" t="str">
        <f t="shared" ref="O11:O14" si="7">"日"</f>
        <v>日</v>
      </c>
      <c r="P11" t="str">
        <f t="shared" ref="P11:P15" si="8">"一般护理费"</f>
        <v>一般护理费</v>
      </c>
    </row>
    <row r="12" spans="1:16">
      <c r="A12" t="str">
        <f>"Ⅱ级护理"</f>
        <v>Ⅱ级护理</v>
      </c>
      <c r="B12" t="str">
        <f>"011301000030000"</f>
        <v>011301000030000</v>
      </c>
      <c r="C12" t="str">
        <f t="shared" si="4"/>
        <v>护理</v>
      </c>
      <c r="G12">
        <v>30</v>
      </c>
      <c r="I12" t="str">
        <f t="shared" si="1"/>
        <v>项</v>
      </c>
      <c r="K12" t="str">
        <f t="shared" si="5"/>
        <v>JHL</v>
      </c>
      <c r="L12" t="str">
        <f t="shared" si="6"/>
        <v>XRG</v>
      </c>
      <c r="M12">
        <v>30</v>
      </c>
      <c r="O12" t="str">
        <f t="shared" si="7"/>
        <v>日</v>
      </c>
      <c r="P12" t="str">
        <f t="shared" si="8"/>
        <v>一般护理费</v>
      </c>
    </row>
    <row r="13" spans="1:16">
      <c r="A13" t="str">
        <f>"Ⅲ级护理"</f>
        <v>Ⅲ级护理</v>
      </c>
      <c r="B13" t="str">
        <f>"011301000040000"</f>
        <v>011301000040000</v>
      </c>
      <c r="C13" t="str">
        <f t="shared" si="4"/>
        <v>护理</v>
      </c>
      <c r="G13">
        <v>22</v>
      </c>
      <c r="I13" t="str">
        <f t="shared" si="1"/>
        <v>项</v>
      </c>
      <c r="K13" t="str">
        <f t="shared" si="5"/>
        <v>JHL</v>
      </c>
      <c r="L13" t="str">
        <f t="shared" si="6"/>
        <v>XRG</v>
      </c>
      <c r="M13">
        <v>22</v>
      </c>
      <c r="O13" t="str">
        <f t="shared" si="7"/>
        <v>日</v>
      </c>
      <c r="P13" t="str">
        <f t="shared" si="8"/>
        <v>一般护理费</v>
      </c>
    </row>
    <row r="14" spans="1:16">
      <c r="A14" t="str">
        <f>"气管切开护理"</f>
        <v>气管切开护理</v>
      </c>
      <c r="B14" t="str">
        <f>"011303000060000"</f>
        <v>011303000060000</v>
      </c>
      <c r="C14" t="str">
        <f t="shared" si="4"/>
        <v>护理</v>
      </c>
      <c r="G14">
        <v>54</v>
      </c>
      <c r="I14" t="str">
        <f t="shared" si="1"/>
        <v>项</v>
      </c>
      <c r="K14" t="str">
        <f>"QGQKHL"</f>
        <v>QGQKHL</v>
      </c>
      <c r="L14" t="str">
        <f>"RTAGRG"</f>
        <v>RTAGRG</v>
      </c>
      <c r="M14">
        <v>54</v>
      </c>
      <c r="O14" t="str">
        <f t="shared" si="7"/>
        <v>日</v>
      </c>
      <c r="P14" t="str">
        <f t="shared" si="8"/>
        <v>一般护理费</v>
      </c>
    </row>
    <row r="15" spans="1:16">
      <c r="A15" t="str">
        <f>"造口/造瘘护理"</f>
        <v>造口/造瘘护理</v>
      </c>
      <c r="B15" t="str">
        <f>"011303000090000"</f>
        <v>011303000090000</v>
      </c>
      <c r="C15" t="str">
        <f t="shared" si="4"/>
        <v>护理</v>
      </c>
      <c r="G15">
        <v>9</v>
      </c>
      <c r="I15" t="str">
        <f t="shared" si="1"/>
        <v>项</v>
      </c>
      <c r="K15" t="str">
        <f>"ZKZHL"</f>
        <v>ZKZHL</v>
      </c>
      <c r="L15" t="str">
        <f>"TKTURG"</f>
        <v>TKTURG</v>
      </c>
      <c r="M15">
        <v>9</v>
      </c>
      <c r="O15" t="str">
        <f>"每造口/每造瘘 . 日"</f>
        <v>每造口/每造瘘 . 日</v>
      </c>
      <c r="P15" t="str">
        <f t="shared" si="8"/>
        <v>一般护理费</v>
      </c>
    </row>
    <row r="16" spans="1:16">
      <c r="A16" t="str">
        <f>"X线摄影成像"</f>
        <v>X线摄影成像</v>
      </c>
      <c r="B16" t="str">
        <f>"012301010010000"</f>
        <v>012301010010000</v>
      </c>
      <c r="C16" t="str">
        <f t="shared" ref="C16:C64" si="9">"检查"</f>
        <v>检查</v>
      </c>
      <c r="G16">
        <v>40</v>
      </c>
      <c r="I16" t="str">
        <f t="shared" si="1"/>
        <v>项</v>
      </c>
      <c r="K16" t="str">
        <f>"XXSYCX"</f>
        <v>XXSYCX</v>
      </c>
      <c r="L16" t="str">
        <f>"XXRJDW"</f>
        <v>XXRJDW</v>
      </c>
      <c r="M16">
        <v>40</v>
      </c>
      <c r="O16" t="str">
        <f t="shared" ref="O16:O18" si="10">"部位"</f>
        <v>部位</v>
      </c>
      <c r="P16" t="str">
        <f t="shared" ref="P16:P19" si="11">"放射费"</f>
        <v>放射费</v>
      </c>
    </row>
    <row r="17" spans="1:16">
      <c r="A17" t="str">
        <f>"X线摄影成像-口腔曲面体层成像(扩展)"</f>
        <v>X线摄影成像-口腔曲面体层成像(扩展)</v>
      </c>
      <c r="B17" t="str">
        <f>"012301010011100"</f>
        <v>012301010011100</v>
      </c>
      <c r="C17" t="str">
        <f t="shared" si="9"/>
        <v>检查</v>
      </c>
      <c r="G17">
        <v>40</v>
      </c>
      <c r="I17" t="str">
        <f t="shared" si="1"/>
        <v>项</v>
      </c>
      <c r="K17" t="str">
        <f>"XXSYCXKQQMTCCXKZ"</f>
        <v>XXSYCXKQQMTCCXKZ</v>
      </c>
      <c r="L17" t="str">
        <f>"XXRJDWKEMDWNDWRN"</f>
        <v>XXRJDWKEMDWNDWRN</v>
      </c>
      <c r="M17">
        <v>40</v>
      </c>
      <c r="O17" t="str">
        <f t="shared" si="10"/>
        <v>部位</v>
      </c>
      <c r="P17" t="str">
        <f t="shared" si="11"/>
        <v>放射费</v>
      </c>
    </row>
    <row r="18" spans="1:16">
      <c r="A18" t="str">
        <f>"X线摄影成像(牙片)"</f>
        <v>X线摄影成像(牙片)</v>
      </c>
      <c r="B18" t="str">
        <f>"012301010020000"</f>
        <v>012301010020000</v>
      </c>
      <c r="C18" t="str">
        <f t="shared" si="9"/>
        <v>检查</v>
      </c>
      <c r="G18">
        <v>15</v>
      </c>
      <c r="I18" t="str">
        <f t="shared" si="1"/>
        <v>项</v>
      </c>
      <c r="K18" t="str">
        <f>"XXSYCXYP"</f>
        <v>XXSYCXYP</v>
      </c>
      <c r="L18" t="str">
        <f>"XXRJDWAT"</f>
        <v>XXRJDWAT</v>
      </c>
      <c r="M18">
        <v>15</v>
      </c>
      <c r="O18" t="str">
        <f t="shared" si="10"/>
        <v>部位</v>
      </c>
      <c r="P18" t="str">
        <f t="shared" si="11"/>
        <v>放射费</v>
      </c>
    </row>
    <row r="19" spans="1:16">
      <c r="A19" t="str">
        <f>"X线摄影成像(乳腺)"</f>
        <v>X线摄影成像(乳腺)</v>
      </c>
      <c r="B19" t="str">
        <f>"012301010030000"</f>
        <v>012301010030000</v>
      </c>
      <c r="C19" t="str">
        <f t="shared" si="9"/>
        <v>检查</v>
      </c>
      <c r="G19">
        <v>70</v>
      </c>
      <c r="I19" t="str">
        <f t="shared" si="1"/>
        <v>项</v>
      </c>
      <c r="K19" t="str">
        <f>"XXSYCXRX"</f>
        <v>XXSYCXRX</v>
      </c>
      <c r="L19" t="str">
        <f>"XXRJDWEE"</f>
        <v>XXRJDWEE</v>
      </c>
      <c r="M19">
        <v>70</v>
      </c>
      <c r="O19" t="str">
        <f>"单侧"</f>
        <v>单侧</v>
      </c>
      <c r="P19" t="str">
        <f t="shared" si="11"/>
        <v>放射费</v>
      </c>
    </row>
    <row r="20" spans="1:16">
      <c r="A20" t="str">
        <f>"计算机体层成像（CT）平扫"</f>
        <v>计算机体层成像（CT）平扫</v>
      </c>
      <c r="B20" t="str">
        <f>"012301020010000"</f>
        <v>012301020010000</v>
      </c>
      <c r="C20" t="str">
        <f t="shared" si="9"/>
        <v>检查</v>
      </c>
      <c r="G20">
        <v>190</v>
      </c>
      <c r="I20" t="str">
        <f>"次"</f>
        <v>次</v>
      </c>
      <c r="K20" t="str">
        <f>"JSJTCCXCTPS"</f>
        <v>JSJTCCXCTPS</v>
      </c>
      <c r="L20" t="str">
        <f>"YTSWNDWCTGR"</f>
        <v>YTSWNDWCTGR</v>
      </c>
      <c r="M20">
        <v>190</v>
      </c>
      <c r="O20" t="str">
        <f>"部位"</f>
        <v>部位</v>
      </c>
      <c r="P20" t="str">
        <f>"CT费"</f>
        <v>CT费</v>
      </c>
    </row>
    <row r="21" spans="1:16">
      <c r="A21" t="str">
        <f>"计算机体层成像（CT）平扫-口腔颌面锥形束 CT（CBCT）（扩展）"</f>
        <v>计算机体层成像（CT）平扫-口腔颌面锥形束 CT（CBCT）（扩展）</v>
      </c>
      <c r="B21" t="str">
        <f>"012301020011100"</f>
        <v>012301020011100</v>
      </c>
      <c r="C21" t="str">
        <f t="shared" si="9"/>
        <v>检查</v>
      </c>
      <c r="G21">
        <v>190</v>
      </c>
      <c r="I21" t="str">
        <f t="shared" ref="I21:I23" si="12">"项"</f>
        <v>项</v>
      </c>
      <c r="K21" t="str">
        <f>"JSJTCCXCTPSKQMZX"</f>
        <v>JSJTCCXCTPSKQMZX</v>
      </c>
      <c r="L21" t="str">
        <f>"YTSWNDWCTGRKEWDQ"</f>
        <v>YTSWNDWCTGRKEWDQ</v>
      </c>
      <c r="M21">
        <v>190</v>
      </c>
      <c r="O21" t="str">
        <f>"次"</f>
        <v>次</v>
      </c>
      <c r="P21" t="str">
        <f>"CT费"</f>
        <v>CT费</v>
      </c>
    </row>
    <row r="22" spans="1:16">
      <c r="A22" t="str">
        <f>"磁共振（MR）平扫"</f>
        <v>磁共振（MR）平扫</v>
      </c>
      <c r="B22" t="str">
        <f>"012301030010000"</f>
        <v>012301030010000</v>
      </c>
      <c r="C22" t="str">
        <f t="shared" si="9"/>
        <v>检查</v>
      </c>
      <c r="G22">
        <v>440</v>
      </c>
      <c r="I22" t="str">
        <f t="shared" si="12"/>
        <v>项</v>
      </c>
      <c r="K22" t="str">
        <f>"CGZMRPS"</f>
        <v>CGZMRPS</v>
      </c>
      <c r="L22" t="str">
        <f>"DARMRGR"</f>
        <v>DARMRGR</v>
      </c>
      <c r="M22">
        <v>440</v>
      </c>
      <c r="O22" t="str">
        <f>"每部位"</f>
        <v>每部位</v>
      </c>
      <c r="P22" t="str">
        <f>"核磁共振"</f>
        <v>核磁共振</v>
      </c>
    </row>
    <row r="23" spans="1:16">
      <c r="A23" t="str">
        <f>"磁共振(MR)平扫 - 特殊方式成像(加收)"</f>
        <v>磁共振(MR)平扫 - 特殊方式成像(加收)</v>
      </c>
      <c r="B23" t="str">
        <f>"012301030010001"</f>
        <v>012301030010001</v>
      </c>
      <c r="C23" t="str">
        <f t="shared" si="9"/>
        <v>检查</v>
      </c>
      <c r="G23">
        <v>50</v>
      </c>
      <c r="I23" t="str">
        <f t="shared" si="12"/>
        <v>项</v>
      </c>
      <c r="K23" t="str">
        <f>"CGZMRPSTSFSCXJS"</f>
        <v>CGZMRPSTSFSCXJS</v>
      </c>
      <c r="L23" t="str">
        <f>"DARMRGRTGYADWLN"</f>
        <v>DARMRGRTGYADWLN</v>
      </c>
      <c r="M23">
        <v>50</v>
      </c>
      <c r="O23" t="str">
        <f>"项"</f>
        <v>项</v>
      </c>
      <c r="P23" t="str">
        <f>"核磁共振"</f>
        <v>核磁共振</v>
      </c>
    </row>
    <row r="24" spans="1:16">
      <c r="A24" t="str">
        <f>"彩色多普勒超声检查（常规）"</f>
        <v>彩色多普勒超声检查（常规）</v>
      </c>
      <c r="B24" t="str">
        <f>"012302030010000"</f>
        <v>012302030010000</v>
      </c>
      <c r="C24" t="str">
        <f t="shared" si="9"/>
        <v>检查</v>
      </c>
      <c r="G24">
        <v>72</v>
      </c>
      <c r="I24">
        <v>1</v>
      </c>
      <c r="K24" t="str">
        <f>"CSDPLCSJCCG"</f>
        <v>CSDPLCSJCCG</v>
      </c>
      <c r="L24" t="str">
        <f>"EQQUAFFSSIF"</f>
        <v>EQQUAFFSSIF</v>
      </c>
      <c r="M24">
        <v>85</v>
      </c>
      <c r="O24" t="str">
        <f>"每个 部位"</f>
        <v>每个 部位</v>
      </c>
      <c r="P24" t="str">
        <f t="shared" ref="P24:P31" si="13">"彩超费"</f>
        <v>彩超费</v>
      </c>
    </row>
    <row r="25" spans="1:16">
      <c r="A25" t="str">
        <f>"膀胱残余尿量测定"</f>
        <v>膀胱残余尿量测定</v>
      </c>
      <c r="B25" t="str">
        <f>"012302030010000-1"</f>
        <v>012302030010000-1</v>
      </c>
      <c r="C25" t="str">
        <f t="shared" si="9"/>
        <v>检查</v>
      </c>
      <c r="G25">
        <v>25</v>
      </c>
      <c r="I25" t="str">
        <f>"次"</f>
        <v>次</v>
      </c>
      <c r="K25" t="str">
        <f>"BCYNLCD"</f>
        <v>BCYNLCD</v>
      </c>
      <c r="L25" t="str">
        <f>"EEGWNJIP"</f>
        <v>EEGWNJIP</v>
      </c>
      <c r="M25">
        <v>25</v>
      </c>
      <c r="O25" t="str">
        <f t="shared" ref="O25:O37" si="14">"次"</f>
        <v>次</v>
      </c>
      <c r="P25" t="str">
        <f t="shared" si="13"/>
        <v>彩超费</v>
      </c>
    </row>
    <row r="26" spans="1:16">
      <c r="A26" t="str">
        <f>"彩色多普勒超声检查（常规）-腔内检查（加收）"</f>
        <v>彩色多普勒超声检查（常规）-腔内检查（加收）</v>
      </c>
      <c r="B26" t="str">
        <f>"012302030010011"</f>
        <v>012302030010011</v>
      </c>
      <c r="C26" t="str">
        <f t="shared" si="9"/>
        <v>检查</v>
      </c>
      <c r="G26">
        <v>20</v>
      </c>
      <c r="I26" t="str">
        <f>"部位"</f>
        <v>部位</v>
      </c>
      <c r="K26" t="str">
        <f>"CSDPLCSJCCGQNJCJ"</f>
        <v>CSDPLCSJCCGQNJCJ</v>
      </c>
      <c r="L26" t="str">
        <f>"EQQUAFFSSIFEMSSL"</f>
        <v>EQQUAFFSSIFEMSSL</v>
      </c>
      <c r="M26">
        <v>20</v>
      </c>
      <c r="O26" t="str">
        <f t="shared" ref="O26:O29" si="15">"部位"</f>
        <v>部位</v>
      </c>
      <c r="P26" t="str">
        <f t="shared" si="13"/>
        <v>彩超费</v>
      </c>
    </row>
    <row r="27" spans="1:16">
      <c r="A27" t="str">
        <f>"彩色多普勒超声检查（心脏）"</f>
        <v>彩色多普勒超声检查（心脏）</v>
      </c>
      <c r="B27" t="str">
        <f>"012302030020000"</f>
        <v>012302030020000</v>
      </c>
      <c r="C27" t="str">
        <f t="shared" si="9"/>
        <v>检查</v>
      </c>
      <c r="G27">
        <v>200</v>
      </c>
      <c r="I27" t="str">
        <f>"次"</f>
        <v>次</v>
      </c>
      <c r="K27" t="str">
        <f>"CSDPLCSJCXZ"</f>
        <v>CSDPLCSJCXZ</v>
      </c>
      <c r="L27" t="str">
        <f>"EQQUAFFSSNE"</f>
        <v>EQQUAFFSSNE</v>
      </c>
      <c r="M27">
        <v>200</v>
      </c>
      <c r="O27" t="str">
        <f t="shared" si="14"/>
        <v>次</v>
      </c>
      <c r="P27" t="str">
        <f t="shared" si="13"/>
        <v>彩超费</v>
      </c>
    </row>
    <row r="28" spans="1:16">
      <c r="A28" t="str">
        <f>"彩色多普勒超声检查（血管）"</f>
        <v>彩色多普勒超声检查（血管）</v>
      </c>
      <c r="B28" t="str">
        <f>"012302030030000"</f>
        <v>012302030030000</v>
      </c>
      <c r="C28" t="str">
        <f t="shared" si="9"/>
        <v>检查</v>
      </c>
      <c r="G28">
        <v>72</v>
      </c>
      <c r="I28" t="str">
        <f>"部位"</f>
        <v>部位</v>
      </c>
      <c r="K28" t="str">
        <f>"CSDPLCSJCXG"</f>
        <v>CSDPLCSJCXG</v>
      </c>
      <c r="L28" t="str">
        <f>"EQQUAFFSSTT"</f>
        <v>EQQUAFFSSTT</v>
      </c>
      <c r="M28">
        <v>85</v>
      </c>
      <c r="O28" t="str">
        <f t="shared" si="15"/>
        <v>部位</v>
      </c>
      <c r="P28" t="str">
        <f t="shared" si="13"/>
        <v>彩超费</v>
      </c>
    </row>
    <row r="29" spans="1:16">
      <c r="A29" t="str">
        <f>"彩色多普勒超声检查（弹性成像）"</f>
        <v>彩色多普勒超声检查（弹性成像）</v>
      </c>
      <c r="B29" t="str">
        <f>"012302030040000"</f>
        <v>012302030040000</v>
      </c>
      <c r="C29" t="str">
        <f t="shared" si="9"/>
        <v>检查</v>
      </c>
      <c r="G29">
        <v>98</v>
      </c>
      <c r="I29" t="str">
        <f>"器官"</f>
        <v>器官</v>
      </c>
      <c r="K29" t="str">
        <f>"CSDPLCSJCDXCX"</f>
        <v>CSDPLCSJCDXCX</v>
      </c>
      <c r="L29" t="str">
        <f>"EQQUAFFSSXNDW"</f>
        <v>EQQUAFFSSXNDW</v>
      </c>
      <c r="M29">
        <v>115</v>
      </c>
      <c r="O29" t="str">
        <f t="shared" si="15"/>
        <v>部位</v>
      </c>
      <c r="P29" t="str">
        <f t="shared" si="13"/>
        <v>彩超费</v>
      </c>
    </row>
    <row r="30" spans="1:16">
      <c r="A30" t="str">
        <f>"彩色多普勒超声检查（胎儿）"</f>
        <v>彩色多普勒超声检查（胎儿）</v>
      </c>
      <c r="B30" t="str">
        <f>"012302030050000"</f>
        <v>012302030050000</v>
      </c>
      <c r="C30" t="str">
        <f t="shared" si="9"/>
        <v>检查</v>
      </c>
      <c r="G30">
        <v>119</v>
      </c>
      <c r="I30" t="str">
        <f>"胎·次"</f>
        <v>胎·次</v>
      </c>
      <c r="K30" t="str">
        <f>"CSDPLCSJCTE"</f>
        <v>CSDPLCSJCTE</v>
      </c>
      <c r="L30" t="str">
        <f>"EQQUAFFSSEQ"</f>
        <v>EQQUAFFSSEQ</v>
      </c>
      <c r="M30">
        <v>140</v>
      </c>
      <c r="O30" t="str">
        <f t="shared" si="14"/>
        <v>次</v>
      </c>
      <c r="P30" t="str">
        <f t="shared" si="13"/>
        <v>彩超费</v>
      </c>
    </row>
    <row r="31" spans="1:16">
      <c r="A31" t="str">
        <f>"多普勒检查（周围血管）"</f>
        <v>多普勒检查（周围血管）</v>
      </c>
      <c r="B31" t="str">
        <f>"012302050010000"</f>
        <v>012302050010000</v>
      </c>
      <c r="C31" t="str">
        <f t="shared" si="9"/>
        <v>检查</v>
      </c>
      <c r="G31">
        <v>75</v>
      </c>
      <c r="I31" t="str">
        <f>"次"</f>
        <v>次</v>
      </c>
      <c r="K31" t="str">
        <f>"DPLJCZWXG"</f>
        <v>DPLJCZWXG</v>
      </c>
      <c r="L31" t="str">
        <f>"QUASSMLTT"</f>
        <v>QUASSMLTT</v>
      </c>
      <c r="M31">
        <v>75</v>
      </c>
      <c r="O31" t="str">
        <f t="shared" si="14"/>
        <v>次</v>
      </c>
      <c r="P31" t="str">
        <f t="shared" si="13"/>
        <v>彩超费</v>
      </c>
    </row>
    <row r="32" spans="1:16">
      <c r="A32" t="str">
        <f>"视力检查费（普通）"</f>
        <v>视力检查费（普通）</v>
      </c>
      <c r="B32" t="str">
        <f>"012403000010000"</f>
        <v>012403000010000</v>
      </c>
      <c r="C32" t="str">
        <f t="shared" si="9"/>
        <v>检查</v>
      </c>
      <c r="G32">
        <v>5</v>
      </c>
      <c r="K32" t="str">
        <f>"SLJCFPT"</f>
        <v>SLJCFPT</v>
      </c>
      <c r="L32" t="str">
        <f>"PLSSXUC"</f>
        <v>PLSSXUC</v>
      </c>
      <c r="M32">
        <v>5</v>
      </c>
      <c r="O32" t="str">
        <f t="shared" si="14"/>
        <v>次</v>
      </c>
      <c r="P32" t="str">
        <f t="shared" ref="P32:P55" si="16">"检查费"</f>
        <v>检查费</v>
      </c>
    </row>
    <row r="33" spans="1:16">
      <c r="A33" t="str">
        <f>"视力检查费（特殊）"</f>
        <v>视力检查费（特殊）</v>
      </c>
      <c r="B33" t="str">
        <f>"012403000020000"</f>
        <v>012403000020000</v>
      </c>
      <c r="C33" t="str">
        <f t="shared" si="9"/>
        <v>检查</v>
      </c>
      <c r="G33">
        <v>23</v>
      </c>
      <c r="K33" t="str">
        <f>"SLJCFTS"</f>
        <v>SLJCFTS</v>
      </c>
      <c r="L33" t="str">
        <f>"PLSSXTG"</f>
        <v>PLSSXTG</v>
      </c>
      <c r="M33">
        <v>23</v>
      </c>
      <c r="O33" t="str">
        <f t="shared" si="14"/>
        <v>次</v>
      </c>
      <c r="P33" t="str">
        <f t="shared" si="16"/>
        <v>检查费</v>
      </c>
    </row>
    <row r="34" spans="1:16">
      <c r="A34" t="str">
        <f>"散瞳验光费"</f>
        <v>散瞳验光费</v>
      </c>
      <c r="B34" t="str">
        <f>"012403000030000"</f>
        <v>012403000030000</v>
      </c>
      <c r="C34" t="str">
        <f t="shared" si="9"/>
        <v>检查</v>
      </c>
      <c r="G34">
        <v>25</v>
      </c>
      <c r="K34" t="str">
        <f>"STYGF"</f>
        <v>STYGF</v>
      </c>
      <c r="L34" t="str">
        <f>"AHCIX"</f>
        <v>AHCIX</v>
      </c>
      <c r="M34">
        <v>45</v>
      </c>
      <c r="O34" t="str">
        <f t="shared" si="14"/>
        <v>次</v>
      </c>
      <c r="P34" t="str">
        <f t="shared" si="16"/>
        <v>检查费</v>
      </c>
    </row>
    <row r="35" spans="1:16">
      <c r="A35" t="str">
        <f>"散瞳验光费-儿童（加收）"</f>
        <v>散瞳验光费-儿童（加收）</v>
      </c>
      <c r="B35" t="str">
        <f>"012403000030001"</f>
        <v>012403000030001</v>
      </c>
      <c r="C35" t="str">
        <f t="shared" si="9"/>
        <v>检查</v>
      </c>
      <c r="G35">
        <v>7.5</v>
      </c>
      <c r="K35" t="str">
        <f>"STYGFETJS"</f>
        <v>STYGFETJS</v>
      </c>
      <c r="L35" t="str">
        <f>"AHCIXQULN"</f>
        <v>AHCIXQULN</v>
      </c>
      <c r="M35">
        <v>13.5</v>
      </c>
      <c r="O35" t="str">
        <f t="shared" si="14"/>
        <v>次</v>
      </c>
      <c r="P35" t="str">
        <f t="shared" si="16"/>
        <v>检查费</v>
      </c>
    </row>
    <row r="36" spans="1:16">
      <c r="A36" t="str">
        <f>"斜视度测定费"</f>
        <v>斜视度测定费</v>
      </c>
      <c r="B36" t="str">
        <f>"012403000120000"</f>
        <v>012403000120000</v>
      </c>
      <c r="C36" t="str">
        <f t="shared" si="9"/>
        <v>检查</v>
      </c>
      <c r="G36">
        <v>17</v>
      </c>
      <c r="K36" t="str">
        <f>"XSDCDF"</f>
        <v>XSDCDF</v>
      </c>
      <c r="L36" t="str">
        <f>"WPYIPX"</f>
        <v>WPYIPX</v>
      </c>
      <c r="M36">
        <v>17</v>
      </c>
      <c r="O36" t="str">
        <f t="shared" si="14"/>
        <v>次</v>
      </c>
      <c r="P36" t="str">
        <f t="shared" si="16"/>
        <v>检查费</v>
      </c>
    </row>
    <row r="37" spans="1:16">
      <c r="A37" t="str">
        <f>"斜视度测定费-儿童（加收）"</f>
        <v>斜视度测定费-儿童（加收）</v>
      </c>
      <c r="B37" t="str">
        <f>"012403000120001"</f>
        <v>012403000120001</v>
      </c>
      <c r="C37" t="str">
        <f t="shared" si="9"/>
        <v>检查</v>
      </c>
      <c r="G37">
        <v>5.1</v>
      </c>
      <c r="K37" t="str">
        <f>"XSDCDFETJS"</f>
        <v>XSDCDFETJS</v>
      </c>
      <c r="L37" t="str">
        <f>"WPYIPXQULN"</f>
        <v>WPYIPXQULN</v>
      </c>
      <c r="M37">
        <v>5.1</v>
      </c>
      <c r="O37" t="str">
        <f t="shared" si="14"/>
        <v>次</v>
      </c>
      <c r="P37" t="str">
        <f t="shared" si="16"/>
        <v>检查费</v>
      </c>
    </row>
    <row r="38" spans="1:16">
      <c r="A38" t="str">
        <f>"上睑下垂检查费"</f>
        <v>上睑下垂检查费</v>
      </c>
      <c r="B38" t="str">
        <f>"012403000180000"</f>
        <v>012403000180000</v>
      </c>
      <c r="C38" t="str">
        <f t="shared" si="9"/>
        <v>检查</v>
      </c>
      <c r="G38">
        <v>5</v>
      </c>
      <c r="I38" t="str">
        <f>"单侧"</f>
        <v>单侧</v>
      </c>
      <c r="K38" t="str">
        <f>"SJXCJCF"</f>
        <v>SJXCJCF</v>
      </c>
      <c r="L38" t="str">
        <f>"HHGTSSX"</f>
        <v>HHGTSSX</v>
      </c>
      <c r="M38">
        <v>5</v>
      </c>
      <c r="O38" t="str">
        <f t="shared" ref="O38:O40" si="17">"单侧"</f>
        <v>单侧</v>
      </c>
      <c r="P38" t="str">
        <f t="shared" si="16"/>
        <v>检查费</v>
      </c>
    </row>
    <row r="39" spans="1:16">
      <c r="A39" t="str">
        <f>"眼部照相费"</f>
        <v>眼部照相费</v>
      </c>
      <c r="B39" t="str">
        <f>"012403000200000"</f>
        <v>012403000200000</v>
      </c>
      <c r="C39" t="str">
        <f t="shared" si="9"/>
        <v>检查</v>
      </c>
      <c r="G39">
        <v>25</v>
      </c>
      <c r="K39" t="str">
        <f>"YBZXF"</f>
        <v>YBZXF</v>
      </c>
      <c r="L39" t="str">
        <f>"HUJSX"</f>
        <v>HUJSX</v>
      </c>
      <c r="M39">
        <v>25</v>
      </c>
      <c r="O39" t="str">
        <f t="shared" si="17"/>
        <v>单侧</v>
      </c>
      <c r="P39" t="str">
        <f t="shared" si="16"/>
        <v>检查费</v>
      </c>
    </row>
    <row r="40" spans="1:16">
      <c r="A40" t="str">
        <f>"眼底镜检查费"</f>
        <v>眼底镜检查费</v>
      </c>
      <c r="B40" t="str">
        <f>"012403000210000"</f>
        <v>012403000210000</v>
      </c>
      <c r="C40" t="str">
        <f t="shared" si="9"/>
        <v>检查</v>
      </c>
      <c r="G40">
        <v>6</v>
      </c>
      <c r="K40" t="str">
        <f>"YDJJCF"</f>
        <v>YDJJCF</v>
      </c>
      <c r="L40" t="str">
        <f>"HYQSSX"</f>
        <v>HYQSSX</v>
      </c>
      <c r="M40">
        <v>6</v>
      </c>
      <c r="O40" t="str">
        <f t="shared" si="17"/>
        <v>单侧</v>
      </c>
      <c r="P40" t="str">
        <f t="shared" si="16"/>
        <v>检查费</v>
      </c>
    </row>
    <row r="41" spans="1:16">
      <c r="A41" t="str">
        <f>"眼外肌功能检查费"</f>
        <v>眼外肌功能检查费</v>
      </c>
      <c r="B41" t="str">
        <f>"012403000250000"</f>
        <v>012403000250000</v>
      </c>
      <c r="C41" t="str">
        <f t="shared" si="9"/>
        <v>检查</v>
      </c>
      <c r="G41">
        <v>11</v>
      </c>
      <c r="K41" t="str">
        <f>"YWJGNJCF"</f>
        <v>YWJGNJCF</v>
      </c>
      <c r="L41" t="str">
        <f>"HQEACSSX"</f>
        <v>HQEACSSX</v>
      </c>
      <c r="M41">
        <v>11</v>
      </c>
      <c r="O41" t="str">
        <f t="shared" ref="O41:O43" si="18">"次"</f>
        <v>次</v>
      </c>
      <c r="P41" t="str">
        <f t="shared" si="16"/>
        <v>检查费</v>
      </c>
    </row>
    <row r="42" spans="1:16">
      <c r="A42" t="str">
        <f>"眼外肌功能检查费-儿童（加收）"</f>
        <v>眼外肌功能检查费-儿童（加收）</v>
      </c>
      <c r="B42" t="str">
        <f>"012403000250001"</f>
        <v>012403000250001</v>
      </c>
      <c r="C42" t="str">
        <f t="shared" si="9"/>
        <v>检查</v>
      </c>
      <c r="G42">
        <v>3.3</v>
      </c>
      <c r="I42" t="str">
        <f>"次"</f>
        <v>次</v>
      </c>
      <c r="K42" t="str">
        <f>"YWJGNJCFETJS"</f>
        <v>YWJGNJCFETJS</v>
      </c>
      <c r="L42" t="str">
        <f>"HQEACSSXQULN"</f>
        <v>HQEACSSXQULN</v>
      </c>
      <c r="M42">
        <v>3.3</v>
      </c>
      <c r="O42" t="str">
        <f t="shared" si="18"/>
        <v>次</v>
      </c>
      <c r="P42" t="str">
        <f t="shared" si="16"/>
        <v>检查费</v>
      </c>
    </row>
    <row r="43" spans="1:16">
      <c r="A43" t="str">
        <f>"耳内镜检查费"</f>
        <v>耳内镜检查费</v>
      </c>
      <c r="B43" t="str">
        <f>"012404000010000"</f>
        <v>012404000010000</v>
      </c>
      <c r="C43" t="str">
        <f t="shared" si="9"/>
        <v>检查</v>
      </c>
      <c r="G43">
        <v>85</v>
      </c>
      <c r="I43">
        <v>1</v>
      </c>
      <c r="K43" t="str">
        <f>"ENJJCF"</f>
        <v>ENJJCF</v>
      </c>
      <c r="L43" t="str">
        <f>"BMQSSX"</f>
        <v>BMQSSX</v>
      </c>
      <c r="M43">
        <v>85</v>
      </c>
      <c r="O43" t="str">
        <f t="shared" si="18"/>
        <v>次</v>
      </c>
      <c r="P43" t="str">
        <f t="shared" si="16"/>
        <v>检查费</v>
      </c>
    </row>
    <row r="44" spans="1:16">
      <c r="A44" t="str">
        <f>"电耳镜检查费"</f>
        <v>电耳镜检查费</v>
      </c>
      <c r="B44" t="str">
        <f>"012404000020000"</f>
        <v>012404000020000</v>
      </c>
      <c r="C44" t="str">
        <f t="shared" si="9"/>
        <v>检查</v>
      </c>
      <c r="G44">
        <v>4</v>
      </c>
      <c r="K44" t="str">
        <f>"DEJJCF"</f>
        <v>DEJJCF</v>
      </c>
      <c r="L44" t="str">
        <f>"JBQSSX"</f>
        <v>JBQSSX</v>
      </c>
      <c r="M44">
        <v>4</v>
      </c>
      <c r="O44" t="str">
        <f>"每次"</f>
        <v>每次</v>
      </c>
      <c r="P44" t="str">
        <f t="shared" si="16"/>
        <v>检查费</v>
      </c>
    </row>
    <row r="45" spans="1:16">
      <c r="A45" t="str">
        <f>"耳声发射检查费"</f>
        <v>耳声发射检查费</v>
      </c>
      <c r="B45" t="str">
        <f>"012404000090000"</f>
        <v>012404000090000</v>
      </c>
      <c r="C45" t="str">
        <f t="shared" si="9"/>
        <v>检查</v>
      </c>
      <c r="G45">
        <v>65</v>
      </c>
      <c r="I45">
        <v>1</v>
      </c>
      <c r="K45" t="str">
        <f>"ESFSJCF"</f>
        <v>ESFSJCF</v>
      </c>
      <c r="L45" t="str">
        <f>"BFNTSSX"</f>
        <v>BFNTSSX</v>
      </c>
      <c r="M45">
        <v>65</v>
      </c>
      <c r="O45" t="str">
        <f>"单侧"</f>
        <v>单侧</v>
      </c>
      <c r="P45" t="str">
        <f t="shared" si="16"/>
        <v>检查费</v>
      </c>
    </row>
    <row r="46" spans="1:16">
      <c r="A46" t="str">
        <f>"前鼻镜检查费"</f>
        <v>前鼻镜检查费</v>
      </c>
      <c r="B46" t="str">
        <f>"012405000010000"</f>
        <v>012405000010000</v>
      </c>
      <c r="C46" t="str">
        <f t="shared" si="9"/>
        <v>检查</v>
      </c>
      <c r="G46">
        <v>3.9</v>
      </c>
      <c r="K46" t="str">
        <f>"QBJJCF"</f>
        <v>QBJJCF</v>
      </c>
      <c r="L46" t="str">
        <f>"UTQSSX"</f>
        <v>UTQSSX</v>
      </c>
      <c r="M46">
        <v>3.9</v>
      </c>
      <c r="O46" t="str">
        <f t="shared" ref="O46:O49" si="19">"次"</f>
        <v>次</v>
      </c>
      <c r="P46" t="str">
        <f t="shared" si="16"/>
        <v>检查费</v>
      </c>
    </row>
    <row r="47" spans="1:16">
      <c r="A47" t="str">
        <f>"鼻内镜检查费"</f>
        <v>鼻内镜检查费</v>
      </c>
      <c r="B47" t="str">
        <f>"012405000020000"</f>
        <v>012405000020000</v>
      </c>
      <c r="C47" t="str">
        <f t="shared" si="9"/>
        <v>检查</v>
      </c>
      <c r="G47">
        <v>6.5</v>
      </c>
      <c r="K47" t="str">
        <f>"BNJJCF"</f>
        <v>BNJJCF</v>
      </c>
      <c r="L47" t="str">
        <f>"TMQSSX"</f>
        <v>TMQSSX</v>
      </c>
      <c r="M47">
        <v>6.5</v>
      </c>
      <c r="O47" t="str">
        <f t="shared" si="19"/>
        <v>次</v>
      </c>
      <c r="P47" t="str">
        <f t="shared" si="16"/>
        <v>检查费</v>
      </c>
    </row>
    <row r="48" spans="1:16">
      <c r="A48" t="str">
        <f>"硬性鼻咽喉镜检查费"</f>
        <v>硬性鼻咽喉镜检查费</v>
      </c>
      <c r="B48" t="str">
        <f>"012405000090000"</f>
        <v>012405000090000</v>
      </c>
      <c r="C48" t="str">
        <f t="shared" si="9"/>
        <v>检查</v>
      </c>
      <c r="G48">
        <v>84</v>
      </c>
      <c r="I48">
        <v>1</v>
      </c>
      <c r="K48" t="str">
        <f>"YXBYHJJCF"</f>
        <v>YXBYHJJCF</v>
      </c>
      <c r="L48" t="str">
        <f>"DNTKKQSSX"</f>
        <v>DNTKKQSSX</v>
      </c>
      <c r="M48">
        <v>84</v>
      </c>
      <c r="O48" t="str">
        <f t="shared" si="19"/>
        <v>次</v>
      </c>
      <c r="P48" t="str">
        <f t="shared" si="16"/>
        <v>检查费</v>
      </c>
    </row>
    <row r="49" spans="1:16">
      <c r="A49" t="str">
        <f>"软性鼻咽喉镜检查费"</f>
        <v>软性鼻咽喉镜检查费</v>
      </c>
      <c r="B49" t="str">
        <f>"012405000100000"</f>
        <v>012405000100000</v>
      </c>
      <c r="C49" t="str">
        <f t="shared" si="9"/>
        <v>检查</v>
      </c>
      <c r="G49">
        <v>343</v>
      </c>
      <c r="K49" t="str">
        <f>"RXBYHJJCF"</f>
        <v>RXBYHJJCF</v>
      </c>
      <c r="L49" t="str">
        <f>"LNTKKQSSX"</f>
        <v>LNTKKQSSX</v>
      </c>
      <c r="M49">
        <v>343</v>
      </c>
      <c r="O49" t="str">
        <f t="shared" si="19"/>
        <v>次</v>
      </c>
      <c r="P49" t="str">
        <f t="shared" si="16"/>
        <v>检查费</v>
      </c>
    </row>
    <row r="50" spans="1:16">
      <c r="A50" t="str">
        <f>"牙髓活力测验费"</f>
        <v>牙髓活力测验费</v>
      </c>
      <c r="B50" t="str">
        <f>"012406000010000"</f>
        <v>012406000010000</v>
      </c>
      <c r="C50" t="str">
        <f t="shared" si="9"/>
        <v>检查</v>
      </c>
      <c r="G50">
        <v>4.8</v>
      </c>
      <c r="K50" t="str">
        <f>"YSHLCYF"</f>
        <v>YSHLCYF</v>
      </c>
      <c r="L50" t="str">
        <f>"AMILICX"</f>
        <v>AMILICX</v>
      </c>
      <c r="M50">
        <v>4.8</v>
      </c>
      <c r="O50" t="str">
        <f>"每牙"</f>
        <v>每牙</v>
      </c>
      <c r="P50" t="str">
        <f t="shared" si="16"/>
        <v>检查费</v>
      </c>
    </row>
    <row r="51" spans="1:16">
      <c r="A51" t="str">
        <f>"全口牙周系统检查费"</f>
        <v>全口牙周系统检查费</v>
      </c>
      <c r="B51" t="str">
        <f>"012406000030000"</f>
        <v>012406000030000</v>
      </c>
      <c r="C51" t="str">
        <f t="shared" si="9"/>
        <v>检查</v>
      </c>
      <c r="G51">
        <v>120</v>
      </c>
      <c r="K51" t="str">
        <f>"QKYZXTJCF"</f>
        <v>QKYZXTJCF</v>
      </c>
      <c r="L51" t="str">
        <f>"WKAMTXSSX"</f>
        <v>WKAMTXSSX</v>
      </c>
      <c r="M51">
        <v>120</v>
      </c>
      <c r="O51" t="str">
        <f t="shared" ref="O51:O57" si="20">"次"</f>
        <v>次</v>
      </c>
      <c r="P51" t="str">
        <f t="shared" si="16"/>
        <v>检查费</v>
      </c>
    </row>
    <row r="52" spans="1:16">
      <c r="A52" t="str">
        <f>"牙周探诊费"</f>
        <v>牙周探诊费</v>
      </c>
      <c r="B52" t="str">
        <f>"012406000040000"</f>
        <v>012406000040000</v>
      </c>
      <c r="C52" t="str">
        <f t="shared" si="9"/>
        <v>检查</v>
      </c>
      <c r="G52">
        <v>27</v>
      </c>
      <c r="K52" t="str">
        <f>"YZTZF"</f>
        <v>YZTZF</v>
      </c>
      <c r="L52" t="str">
        <f>"AMRYX"</f>
        <v>AMRYX</v>
      </c>
      <c r="M52">
        <v>27</v>
      </c>
      <c r="O52" t="str">
        <f t="shared" si="20"/>
        <v>次</v>
      </c>
      <c r="P52" t="str">
        <f t="shared" si="16"/>
        <v>检查费</v>
      </c>
    </row>
    <row r="53" spans="1:16">
      <c r="A53" t="str">
        <f>"牙周指数检查费"</f>
        <v>牙周指数检查费</v>
      </c>
      <c r="B53" t="str">
        <f>"012406000050000"</f>
        <v>012406000050000</v>
      </c>
      <c r="C53" t="str">
        <f t="shared" si="9"/>
        <v>检查</v>
      </c>
      <c r="G53">
        <v>4.3</v>
      </c>
      <c r="K53" t="str">
        <f>"YZZSJCF"</f>
        <v>YZZSJCF</v>
      </c>
      <c r="L53" t="str">
        <f>"AMROSSX"</f>
        <v>AMROSSX</v>
      </c>
      <c r="M53">
        <v>4.3</v>
      </c>
      <c r="O53" t="str">
        <f>"项"</f>
        <v>项</v>
      </c>
      <c r="P53" t="str">
        <f t="shared" si="16"/>
        <v>检查费</v>
      </c>
    </row>
    <row r="54" spans="1:16">
      <c r="A54" t="str">
        <f>"肺通气功能检查费"</f>
        <v>肺通气功能检查费</v>
      </c>
      <c r="B54" t="str">
        <f>"012407000020000"</f>
        <v>012407000020000</v>
      </c>
      <c r="C54" t="str">
        <f t="shared" si="9"/>
        <v>检查</v>
      </c>
      <c r="G54">
        <v>138</v>
      </c>
      <c r="I54" t="str">
        <f t="shared" ref="I54:I57" si="21">"次"</f>
        <v>次</v>
      </c>
      <c r="K54" t="str">
        <f>"FTQGNJCF"</f>
        <v>FTQGNJCF</v>
      </c>
      <c r="L54" t="str">
        <f>"ECRACSSX"</f>
        <v>ECRACSSX</v>
      </c>
      <c r="M54">
        <v>138</v>
      </c>
      <c r="O54" t="str">
        <f t="shared" si="20"/>
        <v>次</v>
      </c>
      <c r="P54" t="str">
        <f t="shared" si="16"/>
        <v>检查费</v>
      </c>
    </row>
    <row r="55" spans="1:16">
      <c r="A55" t="str">
        <f>"运动心肺功能检查费"</f>
        <v>运动心肺功能检查费</v>
      </c>
      <c r="B55" t="str">
        <f>"012407000060000"</f>
        <v>012407000060000</v>
      </c>
      <c r="C55" t="str">
        <f t="shared" si="9"/>
        <v>检查</v>
      </c>
      <c r="G55">
        <v>260</v>
      </c>
      <c r="I55" t="str">
        <f t="shared" si="21"/>
        <v>次</v>
      </c>
      <c r="K55" t="str">
        <f>"YDXFGNJCF"</f>
        <v>YDXFGNJCF</v>
      </c>
      <c r="L55" t="str">
        <f>"FFNEACSSX"</f>
        <v>FFNEACSSX</v>
      </c>
      <c r="M55">
        <v>260</v>
      </c>
      <c r="O55" t="str">
        <f t="shared" si="20"/>
        <v>次</v>
      </c>
      <c r="P55" t="str">
        <f t="shared" si="16"/>
        <v>检查费</v>
      </c>
    </row>
    <row r="56" spans="1:16">
      <c r="A56" t="str">
        <f>"常规心电图检查费"</f>
        <v>常规心电图检查费</v>
      </c>
      <c r="B56" t="str">
        <f>"012408000030000"</f>
        <v>012408000030000</v>
      </c>
      <c r="C56" t="str">
        <f t="shared" si="9"/>
        <v>检查</v>
      </c>
      <c r="G56">
        <v>36</v>
      </c>
      <c r="K56" t="str">
        <f>"CGXDTJCF"</f>
        <v>CGXDTJCF</v>
      </c>
      <c r="L56" t="str">
        <f>"IFNJLSSX"</f>
        <v>IFNJLSSX</v>
      </c>
      <c r="M56">
        <v>36</v>
      </c>
      <c r="O56" t="str">
        <f t="shared" si="20"/>
        <v>次</v>
      </c>
      <c r="P56" t="str">
        <f>"心电图"</f>
        <v>心电图</v>
      </c>
    </row>
    <row r="57" spans="1:16">
      <c r="A57" t="str">
        <f>"心率变异性分析检查费"</f>
        <v>心率变异性分析检查费</v>
      </c>
      <c r="B57" t="str">
        <f>"012408000040000"</f>
        <v>012408000040000</v>
      </c>
      <c r="C57" t="str">
        <f t="shared" si="9"/>
        <v>检查</v>
      </c>
      <c r="G57">
        <v>96</v>
      </c>
      <c r="I57" t="str">
        <f t="shared" si="21"/>
        <v>次</v>
      </c>
      <c r="K57" t="str">
        <f>"XLBYXFXJCF"</f>
        <v>XLBYXFXJCF</v>
      </c>
      <c r="L57" t="str">
        <f>"NYYNNWSSSX"</f>
        <v>NYYNNWSSSX</v>
      </c>
      <c r="M57">
        <v>96</v>
      </c>
      <c r="O57" t="str">
        <f t="shared" si="20"/>
        <v>次</v>
      </c>
      <c r="P57" t="str">
        <f t="shared" ref="P57:P64" si="22">"检查费"</f>
        <v>检查费</v>
      </c>
    </row>
    <row r="58" spans="1:16">
      <c r="A58" t="str">
        <f>"动态心电图检查费"</f>
        <v>动态心电图检查费</v>
      </c>
      <c r="B58" t="str">
        <f>"012408000060000"</f>
        <v>012408000060000</v>
      </c>
      <c r="C58" t="str">
        <f t="shared" si="9"/>
        <v>检查</v>
      </c>
      <c r="G58">
        <v>192</v>
      </c>
      <c r="K58" t="str">
        <f>"DTXDTJCF"</f>
        <v>DTXDTJCF</v>
      </c>
      <c r="L58" t="str">
        <f>"FDNJLSSX"</f>
        <v>FDNJLSSX</v>
      </c>
      <c r="M58">
        <v>192</v>
      </c>
      <c r="O58" t="str">
        <f>"日"</f>
        <v>日</v>
      </c>
      <c r="P58" t="str">
        <f>"心电图"</f>
        <v>心电图</v>
      </c>
    </row>
    <row r="59" spans="1:16">
      <c r="A59" t="str">
        <f>"无创动态血压监测费"</f>
        <v>无创动态血压监测费</v>
      </c>
      <c r="B59" t="str">
        <f>"012408000110000"</f>
        <v>012408000110000</v>
      </c>
      <c r="C59" t="str">
        <f t="shared" si="9"/>
        <v>检查</v>
      </c>
      <c r="G59">
        <v>144</v>
      </c>
      <c r="K59" t="str">
        <f>"WCDTXYJCF"</f>
        <v>WCDTXYJCF</v>
      </c>
      <c r="L59" t="str">
        <f>"FWFDTDJIX"</f>
        <v>FWFDTDJIX</v>
      </c>
      <c r="M59">
        <v>144</v>
      </c>
      <c r="O59" t="str">
        <f>"日"</f>
        <v>日</v>
      </c>
      <c r="P59" t="str">
        <f t="shared" si="22"/>
        <v>检查费</v>
      </c>
    </row>
    <row r="60" spans="1:16">
      <c r="A60" t="str">
        <f>"宫颈内口检查费"</f>
        <v>宫颈内口检查费</v>
      </c>
      <c r="B60" t="str">
        <f>"012413000020000"</f>
        <v>012413000020000</v>
      </c>
      <c r="C60" t="str">
        <f t="shared" si="9"/>
        <v>检查</v>
      </c>
      <c r="G60">
        <v>52</v>
      </c>
      <c r="I60">
        <v>1</v>
      </c>
      <c r="K60" t="str">
        <f>"GJNKJCF"</f>
        <v>GJNKJCF</v>
      </c>
      <c r="L60" t="str">
        <f>"PCMKSSX"</f>
        <v>PCMKSSX</v>
      </c>
      <c r="M60">
        <v>52</v>
      </c>
      <c r="O60" t="str">
        <f>"每次"</f>
        <v>每次</v>
      </c>
      <c r="P60" t="str">
        <f t="shared" si="22"/>
        <v>检查费</v>
      </c>
    </row>
    <row r="61" spans="1:16">
      <c r="A61" t="str">
        <f>"骨密度测定（超声）"</f>
        <v>骨密度测定（超声）</v>
      </c>
      <c r="B61" t="str">
        <f>"012415000010000-1"</f>
        <v>012415000010000-1</v>
      </c>
      <c r="C61" t="str">
        <f t="shared" si="9"/>
        <v>检查</v>
      </c>
      <c r="G61">
        <v>40</v>
      </c>
      <c r="K61" t="str">
        <f>"GMDCDCS"</f>
        <v>GMDCDCS</v>
      </c>
      <c r="L61" t="str">
        <f>"MPYIPFF"</f>
        <v>MPYIPFF</v>
      </c>
      <c r="M61">
        <v>40</v>
      </c>
      <c r="O61" t="str">
        <f t="shared" ref="O61:O64" si="23">"次"</f>
        <v>次</v>
      </c>
      <c r="P61" t="str">
        <f t="shared" si="22"/>
        <v>检查费</v>
      </c>
    </row>
    <row r="62" spans="1:16">
      <c r="A62" t="str">
        <f>"皮肤微生物检查费"</f>
        <v>皮肤微生物检查费</v>
      </c>
      <c r="B62" t="str">
        <f>"012416000030000"</f>
        <v>012416000030000</v>
      </c>
      <c r="C62" t="str">
        <f t="shared" si="9"/>
        <v>检查</v>
      </c>
      <c r="G62">
        <v>31</v>
      </c>
      <c r="I62" t="str">
        <f>"次"</f>
        <v>次</v>
      </c>
      <c r="K62" t="str">
        <f>"PFWSWJCF"</f>
        <v>PFWSWJCF</v>
      </c>
      <c r="L62" t="str">
        <f>"HETTTSSX"</f>
        <v>HETTTSSX</v>
      </c>
      <c r="M62">
        <v>31</v>
      </c>
      <c r="O62" t="str">
        <f t="shared" si="23"/>
        <v>次</v>
      </c>
      <c r="P62" t="str">
        <f t="shared" si="22"/>
        <v>检查费</v>
      </c>
    </row>
    <row r="63" spans="1:16">
      <c r="A63" t="str">
        <f>"皮肤物理检查费"</f>
        <v>皮肤物理检查费</v>
      </c>
      <c r="B63" t="str">
        <f>"012416000040000"</f>
        <v>012416000040000</v>
      </c>
      <c r="C63" t="str">
        <f t="shared" si="9"/>
        <v>检查</v>
      </c>
      <c r="G63">
        <v>22</v>
      </c>
      <c r="K63" t="str">
        <f>"PFWLJCF"</f>
        <v>PFWLJCF</v>
      </c>
      <c r="L63" t="str">
        <f>"HETGSSX"</f>
        <v>HETGSSX</v>
      </c>
      <c r="M63">
        <v>22</v>
      </c>
      <c r="O63" t="str">
        <f>"项"</f>
        <v>项</v>
      </c>
      <c r="P63" t="str">
        <f t="shared" si="22"/>
        <v>检查费</v>
      </c>
    </row>
    <row r="64" spans="1:16">
      <c r="A64" t="str">
        <f>"紫外线荧光检查费"</f>
        <v>紫外线荧光检查费</v>
      </c>
      <c r="B64" t="str">
        <f>"012416000060000"</f>
        <v>012416000060000</v>
      </c>
      <c r="C64" t="str">
        <f t="shared" si="9"/>
        <v>检查</v>
      </c>
      <c r="G64">
        <v>9</v>
      </c>
      <c r="I64" t="str">
        <f>"次"</f>
        <v>次</v>
      </c>
      <c r="K64" t="str">
        <f>"ZWXYGJCF"</f>
        <v>ZWXYGJCF</v>
      </c>
      <c r="L64" t="str">
        <f>"HQXAISSX"</f>
        <v>HQXAISSX</v>
      </c>
      <c r="M64">
        <v>9</v>
      </c>
      <c r="O64" t="str">
        <f t="shared" si="23"/>
        <v>次</v>
      </c>
      <c r="P64" t="str">
        <f t="shared" si="22"/>
        <v>检查费</v>
      </c>
    </row>
    <row r="65" spans="1:16">
      <c r="A65" t="str">
        <f>"耳部治疗费（常规）"</f>
        <v>耳部治疗费（常规）</v>
      </c>
      <c r="B65" t="str">
        <f>"013104010050000"</f>
        <v>013104010050000</v>
      </c>
      <c r="C65" t="str">
        <f t="shared" ref="C65:C128" si="24">"治疗"</f>
        <v>治疗</v>
      </c>
      <c r="G65">
        <v>45</v>
      </c>
      <c r="K65" t="str">
        <f>"EBZLFCG"</f>
        <v>EBZLFCG</v>
      </c>
      <c r="L65" t="str">
        <f>"BUIUXIF"</f>
        <v>BUIUXIF</v>
      </c>
      <c r="M65">
        <v>45</v>
      </c>
      <c r="O65" t="str">
        <f t="shared" ref="O65:O67" si="25">"单侧"</f>
        <v>单侧</v>
      </c>
      <c r="P65" t="str">
        <f t="shared" ref="P65:P128" si="26">"治疗费"</f>
        <v>治疗费</v>
      </c>
    </row>
    <row r="66" spans="1:16">
      <c r="A66" t="str">
        <f>"耳部治疗费（特殊）"</f>
        <v>耳部治疗费（特殊）</v>
      </c>
      <c r="B66" t="str">
        <f>"013104010060000"</f>
        <v>013104010060000</v>
      </c>
      <c r="C66" t="str">
        <f t="shared" si="24"/>
        <v>治疗</v>
      </c>
      <c r="G66">
        <v>68</v>
      </c>
      <c r="K66" t="str">
        <f>"EBZLFTS"</f>
        <v>EBZLFTS</v>
      </c>
      <c r="L66" t="str">
        <f>"BUIUXTG"</f>
        <v>BUIUXTG</v>
      </c>
      <c r="M66">
        <v>68</v>
      </c>
      <c r="O66" t="str">
        <f t="shared" si="25"/>
        <v>单侧</v>
      </c>
      <c r="P66" t="str">
        <f t="shared" si="26"/>
        <v>治疗费</v>
      </c>
    </row>
    <row r="67" spans="1:16">
      <c r="A67" t="str">
        <f>"鼻腔异物取出费"</f>
        <v>鼻腔异物取出费</v>
      </c>
      <c r="B67" t="str">
        <f>"013104020010000"</f>
        <v>013104020010000</v>
      </c>
      <c r="C67" t="str">
        <f t="shared" si="24"/>
        <v>治疗</v>
      </c>
      <c r="G67">
        <v>47</v>
      </c>
      <c r="K67" t="str">
        <f>"BQYWQCF"</f>
        <v>BQYWQCF</v>
      </c>
      <c r="L67" t="str">
        <f>"TENTBBX"</f>
        <v>TENTBBX</v>
      </c>
      <c r="M67">
        <v>47</v>
      </c>
      <c r="O67" t="str">
        <f t="shared" si="25"/>
        <v>单侧</v>
      </c>
      <c r="P67" t="str">
        <f t="shared" si="26"/>
        <v>治疗费</v>
      </c>
    </row>
    <row r="68" spans="1:16">
      <c r="A68" t="str">
        <f>"异物取出费（口咽部）"</f>
        <v>异物取出费（口咽部）</v>
      </c>
      <c r="B68" t="str">
        <f>"013104020070000"</f>
        <v>013104020070000</v>
      </c>
      <c r="C68" t="str">
        <f t="shared" si="24"/>
        <v>治疗</v>
      </c>
      <c r="G68">
        <v>13</v>
      </c>
      <c r="K68" t="str">
        <f>"YWQCFKYB"</f>
        <v>YWQCFKYB</v>
      </c>
      <c r="L68" t="str">
        <f>"NTBBXKKU"</f>
        <v>NTBBXKKU</v>
      </c>
      <c r="M68">
        <v>13</v>
      </c>
      <c r="O68" t="str">
        <f t="shared" ref="O68:O70" si="27">"次"</f>
        <v>次</v>
      </c>
      <c r="P68" t="str">
        <f t="shared" si="26"/>
        <v>治疗费</v>
      </c>
    </row>
    <row r="69" spans="1:16">
      <c r="A69" t="str">
        <f>"咽喉部治疗费（特殊）"</f>
        <v>咽喉部治疗费（特殊）</v>
      </c>
      <c r="B69" t="str">
        <f>"013104020090000"</f>
        <v>013104020090000</v>
      </c>
      <c r="C69" t="str">
        <f t="shared" si="24"/>
        <v>治疗</v>
      </c>
      <c r="G69">
        <v>39</v>
      </c>
      <c r="K69" t="str">
        <f>"YHBZLFTS"</f>
        <v>YHBZLFTS</v>
      </c>
      <c r="L69" t="str">
        <f>"KKUIUXTG"</f>
        <v>KKUIUXTG</v>
      </c>
      <c r="M69">
        <v>39</v>
      </c>
      <c r="O69" t="str">
        <f t="shared" si="27"/>
        <v>次</v>
      </c>
      <c r="P69" t="str">
        <f t="shared" si="26"/>
        <v>治疗费</v>
      </c>
    </row>
    <row r="70" spans="1:16">
      <c r="A70" t="str">
        <f>"橡皮障隔离费"</f>
        <v>橡皮障隔离费</v>
      </c>
      <c r="B70" t="str">
        <f>"013105010010000"</f>
        <v>013105010010000</v>
      </c>
      <c r="C70" t="str">
        <f t="shared" si="24"/>
        <v>治疗</v>
      </c>
      <c r="G70">
        <v>20</v>
      </c>
      <c r="K70" t="str">
        <f>"XPZGLF"</f>
        <v>XPZGLF</v>
      </c>
      <c r="L70" t="str">
        <f>"SHBBYX"</f>
        <v>SHBBYX</v>
      </c>
      <c r="M70">
        <v>20</v>
      </c>
      <c r="O70" t="str">
        <f t="shared" si="27"/>
        <v>次</v>
      </c>
      <c r="P70" t="str">
        <f t="shared" si="26"/>
        <v>治疗费</v>
      </c>
    </row>
    <row r="71" spans="1:16">
      <c r="A71" t="str">
        <f>"牙体开髓引流费"</f>
        <v>牙体开髓引流费</v>
      </c>
      <c r="B71" t="str">
        <f>"013105010020000"</f>
        <v>013105010020000</v>
      </c>
      <c r="C71" t="str">
        <f t="shared" si="24"/>
        <v>治疗</v>
      </c>
      <c r="G71">
        <v>64</v>
      </c>
      <c r="K71" t="str">
        <f>"YTKSYLF"</f>
        <v>YTKSYLF</v>
      </c>
      <c r="L71" t="str">
        <f>"AWGMXIX"</f>
        <v>AWGMXIX</v>
      </c>
      <c r="M71">
        <v>64</v>
      </c>
      <c r="O71" t="str">
        <f t="shared" ref="O71:O75" si="28">"每牙"</f>
        <v>每牙</v>
      </c>
      <c r="P71" t="str">
        <f t="shared" si="26"/>
        <v>治疗费</v>
      </c>
    </row>
    <row r="72" spans="1:16">
      <c r="A72" t="str">
        <f>"牙体开髓引流费-儿童（加收）"</f>
        <v>牙体开髓引流费-儿童（加收）</v>
      </c>
      <c r="B72" t="str">
        <f>"013105010020001"</f>
        <v>013105010020001</v>
      </c>
      <c r="C72" t="str">
        <f t="shared" si="24"/>
        <v>治疗</v>
      </c>
      <c r="G72">
        <v>19.2</v>
      </c>
      <c r="K72" t="str">
        <f>"YTKSYLFETJS"</f>
        <v>YTKSYLFETJS</v>
      </c>
      <c r="L72" t="str">
        <f>"AWGMXIXQULN"</f>
        <v>AWGMXIXQULN</v>
      </c>
      <c r="M72">
        <v>19.2</v>
      </c>
      <c r="O72" t="str">
        <f t="shared" si="28"/>
        <v>每牙</v>
      </c>
      <c r="P72" t="str">
        <f t="shared" si="26"/>
        <v>治疗费</v>
      </c>
    </row>
    <row r="73" spans="1:16">
      <c r="A73" t="str">
        <f>"牙髓失活费"</f>
        <v>牙髓失活费</v>
      </c>
      <c r="B73" t="str">
        <f>"013105010030000"</f>
        <v>013105010030000</v>
      </c>
      <c r="C73" t="str">
        <f t="shared" si="24"/>
        <v>治疗</v>
      </c>
      <c r="G73">
        <v>28</v>
      </c>
      <c r="K73" t="str">
        <f>"YSSHF"</f>
        <v>YSSHF</v>
      </c>
      <c r="L73" t="str">
        <f>"AMRIX"</f>
        <v>AMRIX</v>
      </c>
      <c r="M73">
        <v>28</v>
      </c>
      <c r="O73" t="str">
        <f t="shared" si="28"/>
        <v>每牙</v>
      </c>
      <c r="P73" t="str">
        <f t="shared" si="26"/>
        <v>治疗费</v>
      </c>
    </row>
    <row r="74" spans="1:16">
      <c r="A74" t="str">
        <f>"牙髓失活费-儿童（加收）"</f>
        <v>牙髓失活费-儿童（加收）</v>
      </c>
      <c r="B74" t="str">
        <f>"013105010030001"</f>
        <v>013105010030001</v>
      </c>
      <c r="C74" t="str">
        <f t="shared" si="24"/>
        <v>治疗</v>
      </c>
      <c r="G74">
        <v>8.4</v>
      </c>
      <c r="K74" t="str">
        <f>"YSSHFETJS"</f>
        <v>YSSHFETJS</v>
      </c>
      <c r="L74" t="str">
        <f>"AMRIXQULN"</f>
        <v>AMRIXQULN</v>
      </c>
      <c r="M74">
        <v>8.4</v>
      </c>
      <c r="O74" t="str">
        <f t="shared" si="28"/>
        <v>每牙</v>
      </c>
      <c r="P74" t="str">
        <f t="shared" si="26"/>
        <v>治疗费</v>
      </c>
    </row>
    <row r="75" spans="1:16">
      <c r="A75" t="str">
        <f>"干髓治疗费"</f>
        <v>干髓治疗费</v>
      </c>
      <c r="B75" t="str">
        <f>"013105010040000"</f>
        <v>013105010040000</v>
      </c>
      <c r="C75" t="str">
        <f t="shared" si="24"/>
        <v>治疗</v>
      </c>
      <c r="G75">
        <v>16</v>
      </c>
      <c r="K75" t="str">
        <f>"GSZLF"</f>
        <v>GSZLF</v>
      </c>
      <c r="L75" t="str">
        <f>"FMIUX"</f>
        <v>FMIUX</v>
      </c>
      <c r="M75">
        <v>16</v>
      </c>
      <c r="O75" t="str">
        <f t="shared" si="28"/>
        <v>每牙</v>
      </c>
      <c r="P75" t="str">
        <f t="shared" si="26"/>
        <v>治疗费</v>
      </c>
    </row>
    <row r="76" spans="1:16">
      <c r="A76" t="str">
        <f>"根管预备费（非显微镜下）"</f>
        <v>根管预备费（非显微镜下）</v>
      </c>
      <c r="B76" t="str">
        <f>"013105010050000-1"</f>
        <v>013105010050000-1</v>
      </c>
      <c r="C76" t="str">
        <f t="shared" si="24"/>
        <v>治疗</v>
      </c>
      <c r="G76">
        <v>90</v>
      </c>
      <c r="K76" t="str">
        <f>"GGYBFFXWJX"</f>
        <v>GGYBFFXWJX</v>
      </c>
      <c r="L76" t="str">
        <f>"STCTXDJTQG"</f>
        <v>STCTXDJTQG</v>
      </c>
      <c r="M76">
        <v>90</v>
      </c>
      <c r="O76" t="str">
        <f t="shared" ref="O76:O87" si="29">"每根管"</f>
        <v>每根管</v>
      </c>
      <c r="P76" t="str">
        <f t="shared" si="26"/>
        <v>治疗费</v>
      </c>
    </row>
    <row r="77" spans="1:16">
      <c r="A77" t="str">
        <f>"根管预备费-儿童（加收）"</f>
        <v>根管预备费-儿童（加收）</v>
      </c>
      <c r="B77" t="str">
        <f>"013105010050001"</f>
        <v>013105010050001</v>
      </c>
      <c r="C77" t="str">
        <f t="shared" si="24"/>
        <v>治疗</v>
      </c>
      <c r="G77">
        <v>53.4</v>
      </c>
      <c r="K77" t="str">
        <f>"GGYBFETJS"</f>
        <v>GGYBFETJS</v>
      </c>
      <c r="L77" t="str">
        <f>"STCTXQULN"</f>
        <v>STCTXQULN</v>
      </c>
      <c r="M77">
        <v>53.4</v>
      </c>
      <c r="O77" t="str">
        <f t="shared" si="29"/>
        <v>每根管</v>
      </c>
      <c r="P77" t="str">
        <f t="shared" si="26"/>
        <v>治疗费</v>
      </c>
    </row>
    <row r="78" spans="1:16">
      <c r="A78" t="str">
        <f>"根管预备费-根管异常（加收）"</f>
        <v>根管预备费-根管异常（加收）</v>
      </c>
      <c r="B78" t="str">
        <f>"013105010050011"</f>
        <v>013105010050011</v>
      </c>
      <c r="C78" t="str">
        <f t="shared" si="24"/>
        <v>治疗</v>
      </c>
      <c r="G78">
        <v>124.6</v>
      </c>
      <c r="K78" t="str">
        <f>"GGYBFGGYCJS"</f>
        <v>GGYBFGGYCJS</v>
      </c>
      <c r="L78" t="str">
        <f>"STCTXSTNILN"</f>
        <v>STCTXSTNILN</v>
      </c>
      <c r="M78">
        <v>124.6</v>
      </c>
      <c r="O78" t="str">
        <f t="shared" si="29"/>
        <v>每根管</v>
      </c>
      <c r="P78" t="str">
        <f t="shared" si="26"/>
        <v>治疗费</v>
      </c>
    </row>
    <row r="79" spans="1:16">
      <c r="A79" t="str">
        <f>"根管冲洗费"</f>
        <v>根管冲洗费</v>
      </c>
      <c r="B79" t="str">
        <f>"013105010060000"</f>
        <v>013105010060000</v>
      </c>
      <c r="C79" t="str">
        <f t="shared" si="24"/>
        <v>治疗</v>
      </c>
      <c r="G79">
        <v>20</v>
      </c>
      <c r="K79" t="str">
        <f>"GGCXF"</f>
        <v>GGCXF</v>
      </c>
      <c r="L79" t="str">
        <f>"STUIX"</f>
        <v>STUIX</v>
      </c>
      <c r="M79">
        <v>20</v>
      </c>
      <c r="O79" t="str">
        <f t="shared" si="29"/>
        <v>每根管</v>
      </c>
      <c r="P79" t="str">
        <f t="shared" si="26"/>
        <v>治疗费</v>
      </c>
    </row>
    <row r="80" spans="1:16">
      <c r="A80" t="str">
        <f>"根管冲洗费-根管封药费（扩展）"</f>
        <v>根管冲洗费-根管封药费（扩展）</v>
      </c>
      <c r="B80" t="str">
        <f>"013105010060100"</f>
        <v>013105010060100</v>
      </c>
      <c r="C80" t="str">
        <f t="shared" si="24"/>
        <v>治疗</v>
      </c>
      <c r="G80">
        <v>20</v>
      </c>
      <c r="K80" t="str">
        <f>"GGCXFGGFYFKZ"</f>
        <v>GGCXFGGFYFKZ</v>
      </c>
      <c r="L80" t="str">
        <f>"STUIXSTFAXRN"</f>
        <v>STUIXSTFAXRN</v>
      </c>
      <c r="M80">
        <v>20</v>
      </c>
      <c r="O80" t="str">
        <f t="shared" si="29"/>
        <v>每根管</v>
      </c>
      <c r="P80" t="str">
        <f t="shared" si="26"/>
        <v>治疗费</v>
      </c>
    </row>
    <row r="81" spans="1:16">
      <c r="A81" t="str">
        <f>"根管充填费"</f>
        <v>根管充填费</v>
      </c>
      <c r="B81" t="str">
        <f>"013105010070000"</f>
        <v>013105010070000</v>
      </c>
      <c r="C81" t="str">
        <f t="shared" si="24"/>
        <v>治疗</v>
      </c>
      <c r="G81">
        <v>130</v>
      </c>
      <c r="K81" t="str">
        <f>"GGCTF"</f>
        <v>GGCTF</v>
      </c>
      <c r="L81" t="str">
        <f>"STYFX"</f>
        <v>STYFX</v>
      </c>
      <c r="M81">
        <v>130</v>
      </c>
      <c r="O81" t="str">
        <f t="shared" si="29"/>
        <v>每根管</v>
      </c>
      <c r="P81" t="str">
        <f t="shared" si="26"/>
        <v>治疗费</v>
      </c>
    </row>
    <row r="82" spans="1:16">
      <c r="A82" t="str">
        <f>"根管充填费-儿童（加收）"</f>
        <v>根管充填费-儿童（加收）</v>
      </c>
      <c r="B82" t="str">
        <f>"013105010070001"</f>
        <v>013105010070001</v>
      </c>
      <c r="C82" t="str">
        <f t="shared" si="24"/>
        <v>治疗</v>
      </c>
      <c r="G82">
        <v>39</v>
      </c>
      <c r="K82" t="str">
        <f>"GGCTFETJS"</f>
        <v>GGCTFETJS</v>
      </c>
      <c r="L82" t="str">
        <f>"STYFXQULN"</f>
        <v>STYFXQULN</v>
      </c>
      <c r="M82">
        <v>39</v>
      </c>
      <c r="O82" t="str">
        <f t="shared" si="29"/>
        <v>每根管</v>
      </c>
      <c r="P82" t="str">
        <f t="shared" si="26"/>
        <v>治疗费</v>
      </c>
    </row>
    <row r="83" spans="1:16">
      <c r="A83" t="str">
        <f>"根管充填费-根管异常（加收）"</f>
        <v>根管充填费-根管异常（加收）</v>
      </c>
      <c r="B83" t="str">
        <f>"013105010070011"</f>
        <v>013105010070011</v>
      </c>
      <c r="C83" t="str">
        <f t="shared" si="24"/>
        <v>治疗</v>
      </c>
      <c r="G83">
        <v>130</v>
      </c>
      <c r="K83" t="str">
        <f>"GGCTFGGYCJS"</f>
        <v>GGCTFGGYCJS</v>
      </c>
      <c r="L83" t="str">
        <f>"STYFXSTNILN"</f>
        <v>STYFXSTNILN</v>
      </c>
      <c r="M83">
        <v>130</v>
      </c>
      <c r="O83" t="str">
        <f t="shared" si="29"/>
        <v>每根管</v>
      </c>
      <c r="P83" t="str">
        <f t="shared" si="26"/>
        <v>治疗费</v>
      </c>
    </row>
    <row r="84" spans="1:16">
      <c r="A84" t="str">
        <f>"根管充填费-乳牙根管充填费（扩展）"</f>
        <v>根管充填费-乳牙根管充填费（扩展）</v>
      </c>
      <c r="B84" t="str">
        <f>"013105010070100"</f>
        <v>013105010070100</v>
      </c>
      <c r="C84" t="str">
        <f t="shared" si="24"/>
        <v>治疗</v>
      </c>
      <c r="G84">
        <v>130</v>
      </c>
      <c r="K84" t="str">
        <f>"GGCTFRYGGCTFKZ"</f>
        <v>GGCTFRYGGCTFKZ</v>
      </c>
      <c r="L84" t="str">
        <f>"STYFXEASTYFXRN"</f>
        <v>STYFXEASTYFXRN</v>
      </c>
      <c r="M84">
        <v>130</v>
      </c>
      <c r="O84" t="str">
        <f t="shared" si="29"/>
        <v>每根管</v>
      </c>
      <c r="P84" t="str">
        <f t="shared" si="26"/>
        <v>治疗费</v>
      </c>
    </row>
    <row r="85" spans="1:16">
      <c r="A85" t="str">
        <f>"根管再治疗费"</f>
        <v>根管再治疗费</v>
      </c>
      <c r="B85" t="str">
        <f>"013105010080000"</f>
        <v>013105010080000</v>
      </c>
      <c r="C85" t="str">
        <f t="shared" si="24"/>
        <v>治疗</v>
      </c>
      <c r="G85">
        <v>178</v>
      </c>
      <c r="K85" t="str">
        <f>"GGZZLF"</f>
        <v>GGZZLF</v>
      </c>
      <c r="L85" t="str">
        <f>"STGIUX"</f>
        <v>STGIUX</v>
      </c>
      <c r="M85">
        <v>178</v>
      </c>
      <c r="O85" t="str">
        <f t="shared" si="29"/>
        <v>每根管</v>
      </c>
      <c r="P85" t="str">
        <f t="shared" si="26"/>
        <v>治疗费</v>
      </c>
    </row>
    <row r="86" spans="1:16">
      <c r="A86" t="str">
        <f>"根管内异物取出费"</f>
        <v>根管内异物取出费</v>
      </c>
      <c r="B86" t="str">
        <f>"013105010090000"</f>
        <v>013105010090000</v>
      </c>
      <c r="C86" t="str">
        <f t="shared" si="24"/>
        <v>治疗</v>
      </c>
      <c r="G86">
        <v>904</v>
      </c>
      <c r="K86" t="str">
        <f>"GGNYWQCF"</f>
        <v>GGNYWQCF</v>
      </c>
      <c r="L86" t="str">
        <f>"STMNTBBX"</f>
        <v>STMNTBBX</v>
      </c>
      <c r="M86">
        <v>904</v>
      </c>
      <c r="O86" t="str">
        <f t="shared" si="29"/>
        <v>每根管</v>
      </c>
      <c r="P86" t="str">
        <f t="shared" si="26"/>
        <v>治疗费</v>
      </c>
    </row>
    <row r="87" spans="1:16">
      <c r="A87" t="str">
        <f>"根管内异物取出费-根尖段异物取出（加收）"</f>
        <v>根管内异物取出费-根尖段异物取出（加收）</v>
      </c>
      <c r="B87" t="str">
        <f>"013105010090001"</f>
        <v>013105010090001</v>
      </c>
      <c r="C87" t="str">
        <f t="shared" si="24"/>
        <v>治疗</v>
      </c>
      <c r="G87">
        <v>452</v>
      </c>
      <c r="K87" t="str">
        <f>"GGNYWQCFGJDYWQCJ"</f>
        <v>GGNYWQCFGJDYWQCJ</v>
      </c>
      <c r="L87" t="str">
        <f>"STMNTBBXSIWNTBBL"</f>
        <v>STMNTBBXSIWNTBBL</v>
      </c>
      <c r="M87">
        <v>452</v>
      </c>
      <c r="O87" t="str">
        <f t="shared" si="29"/>
        <v>每根管</v>
      </c>
      <c r="P87" t="str">
        <f t="shared" si="26"/>
        <v>治疗费</v>
      </c>
    </row>
    <row r="88" spans="1:16">
      <c r="A88" t="str">
        <f>"活髓保存治疗费"</f>
        <v>活髓保存治疗费</v>
      </c>
      <c r="B88" t="str">
        <f>"013105010100000"</f>
        <v>013105010100000</v>
      </c>
      <c r="C88" t="str">
        <f t="shared" si="24"/>
        <v>治疗</v>
      </c>
      <c r="G88">
        <v>228</v>
      </c>
      <c r="K88" t="str">
        <f>"HSBCZLF"</f>
        <v>HSBCZLF</v>
      </c>
      <c r="L88" t="str">
        <f>"IMWDIUX"</f>
        <v>IMWDIUX</v>
      </c>
      <c r="M88">
        <v>228</v>
      </c>
      <c r="O88" t="str">
        <f t="shared" ref="O88:O97" si="30">"每牙"</f>
        <v>每牙</v>
      </c>
      <c r="P88" t="str">
        <f t="shared" si="26"/>
        <v>治疗费</v>
      </c>
    </row>
    <row r="89" spans="1:16">
      <c r="A89" t="str">
        <f>"活髓保存治疗费-间接盖髓（减收）"</f>
        <v>活髓保存治疗费-间接盖髓（减收）</v>
      </c>
      <c r="B89" t="str">
        <f>"013105010100001"</f>
        <v>013105010100001</v>
      </c>
      <c r="C89" t="str">
        <f t="shared" si="24"/>
        <v>治疗</v>
      </c>
      <c r="G89">
        <v>114</v>
      </c>
      <c r="K89" t="str">
        <f>"HSBCZLFJJGSJS"</f>
        <v>HSBCZLFJJGSJS</v>
      </c>
      <c r="L89" t="str">
        <f>"IMWDIUXURUMUN"</f>
        <v>IMWDIUXURUMUN</v>
      </c>
      <c r="M89">
        <v>114</v>
      </c>
      <c r="O89" t="str">
        <f t="shared" si="30"/>
        <v>每牙</v>
      </c>
      <c r="P89" t="str">
        <f t="shared" si="26"/>
        <v>治疗费</v>
      </c>
    </row>
    <row r="90" spans="1:16">
      <c r="A90" t="str">
        <f>"牙体缺损直接粘接修复费"</f>
        <v>牙体缺损直接粘接修复费</v>
      </c>
      <c r="B90" t="str">
        <f>"013105010120000"</f>
        <v>013105010120000</v>
      </c>
      <c r="C90" t="str">
        <f t="shared" si="24"/>
        <v>治疗</v>
      </c>
      <c r="G90">
        <v>176</v>
      </c>
      <c r="K90" t="str">
        <f>"YTQSZJNJXFF"</f>
        <v>YTQSZJNJXFF</v>
      </c>
      <c r="L90" t="str">
        <f>"AWRRFRORWTX"</f>
        <v>AWRRFRORWTX</v>
      </c>
      <c r="M90">
        <v>176</v>
      </c>
      <c r="O90" t="str">
        <f t="shared" si="30"/>
        <v>每牙</v>
      </c>
      <c r="P90" t="str">
        <f t="shared" si="26"/>
        <v>治疗费</v>
      </c>
    </row>
    <row r="91" spans="1:16">
      <c r="A91" t="str">
        <f>"牙体缺损直接粘接修复费-儿童（加收）"</f>
        <v>牙体缺损直接粘接修复费-儿童（加收）</v>
      </c>
      <c r="B91" t="str">
        <f>"013105010120001"</f>
        <v>013105010120001</v>
      </c>
      <c r="C91" t="str">
        <f t="shared" si="24"/>
        <v>治疗</v>
      </c>
      <c r="G91">
        <v>52.8</v>
      </c>
      <c r="K91" t="str">
        <f>"YTQSZJNJXFFETJS"</f>
        <v>YTQSZJNJXFFETJS</v>
      </c>
      <c r="L91" t="str">
        <f>"AWRRFRORWTXQULN"</f>
        <v>AWRRFRORWTXQULN</v>
      </c>
      <c r="M91">
        <v>52.8</v>
      </c>
      <c r="O91" t="str">
        <f t="shared" si="30"/>
        <v>每牙</v>
      </c>
      <c r="P91" t="str">
        <f t="shared" si="26"/>
        <v>治疗费</v>
      </c>
    </row>
    <row r="92" spans="1:16">
      <c r="A92" t="str">
        <f>"牙体缺损直接粘接修复费-牙体大面积缺损（加收）"</f>
        <v>牙体缺损直接粘接修复费-牙体大面积缺损（加收）</v>
      </c>
      <c r="B92" t="str">
        <f>"013105010120011"</f>
        <v>013105010120011</v>
      </c>
      <c r="C92" t="str">
        <f t="shared" si="24"/>
        <v>治疗</v>
      </c>
      <c r="G92">
        <v>176</v>
      </c>
      <c r="K92" t="str">
        <f>"YTQSZJNJXFFYTDMJ"</f>
        <v>YTQSZJNJXFFYTDMJ</v>
      </c>
      <c r="L92" t="str">
        <f>"AWRRFRORWTXAWDDT"</f>
        <v>AWRRFRORWTXAWDDT</v>
      </c>
      <c r="M92">
        <v>176</v>
      </c>
      <c r="O92" t="str">
        <f t="shared" si="30"/>
        <v>每牙</v>
      </c>
      <c r="P92" t="str">
        <f t="shared" si="26"/>
        <v>治疗费</v>
      </c>
    </row>
    <row r="93" spans="1:16">
      <c r="A93" t="str">
        <f>"牙体缺损直接粘接修复费-暂封（减收）"</f>
        <v>牙体缺损直接粘接修复费-暂封（减收）</v>
      </c>
      <c r="B93" t="str">
        <f>"013105010120012"</f>
        <v>013105010120012</v>
      </c>
      <c r="C93" t="str">
        <f t="shared" si="24"/>
        <v>治疗</v>
      </c>
      <c r="G93">
        <v>35.2</v>
      </c>
      <c r="K93" t="str">
        <f>"YTQSZJNJXFFZFJS"</f>
        <v>YTQSZJNJXFFZFJS</v>
      </c>
      <c r="L93" t="str">
        <f>"AWRRFRORWTXLFUN"</f>
        <v>AWRRFRORWTXLFUN</v>
      </c>
      <c r="M93">
        <v>140.8</v>
      </c>
      <c r="O93" t="str">
        <f t="shared" si="30"/>
        <v>每牙</v>
      </c>
      <c r="P93" t="str">
        <f t="shared" si="26"/>
        <v>治疗费</v>
      </c>
    </row>
    <row r="94" spans="1:16">
      <c r="A94" t="str">
        <f>"窝沟封闭费"</f>
        <v>窝沟封闭费</v>
      </c>
      <c r="B94" t="str">
        <f>"013105010140000"</f>
        <v>013105010140000</v>
      </c>
      <c r="C94" t="str">
        <f t="shared" si="24"/>
        <v>治疗</v>
      </c>
      <c r="G94">
        <v>46</v>
      </c>
      <c r="I94" t="str">
        <f>"每牙"</f>
        <v>每牙</v>
      </c>
      <c r="K94" t="str">
        <f>"WGFBF"</f>
        <v>WGFBF</v>
      </c>
      <c r="L94" t="str">
        <f>"PIFUX"</f>
        <v>PIFUX</v>
      </c>
      <c r="M94">
        <v>46</v>
      </c>
      <c r="O94" t="str">
        <f t="shared" si="30"/>
        <v>每牙</v>
      </c>
      <c r="P94" t="str">
        <f t="shared" si="26"/>
        <v>治疗费</v>
      </c>
    </row>
    <row r="95" spans="1:16">
      <c r="A95" t="str">
        <f>"氟防龋治疗费"</f>
        <v>氟防龋治疗费</v>
      </c>
      <c r="B95" t="str">
        <f>"013105010150000"</f>
        <v>013105010150000</v>
      </c>
      <c r="C95" t="str">
        <f t="shared" si="24"/>
        <v>治疗</v>
      </c>
      <c r="G95">
        <v>5</v>
      </c>
      <c r="K95" t="str">
        <f>"FFQZLF"</f>
        <v>FFQZLF</v>
      </c>
      <c r="L95" t="str">
        <f>"RBHIUX"</f>
        <v>RBHIUX</v>
      </c>
      <c r="M95">
        <v>5</v>
      </c>
      <c r="O95" t="str">
        <f t="shared" si="30"/>
        <v>每牙</v>
      </c>
      <c r="P95" t="str">
        <f t="shared" si="26"/>
        <v>治疗费</v>
      </c>
    </row>
    <row r="96" spans="1:16">
      <c r="A96" t="str">
        <f>"牙脱敏治疗费"</f>
        <v>牙脱敏治疗费</v>
      </c>
      <c r="B96" t="str">
        <f>"013105010160000"</f>
        <v>013105010160000</v>
      </c>
      <c r="C96" t="str">
        <f t="shared" si="24"/>
        <v>治疗</v>
      </c>
      <c r="G96">
        <v>5</v>
      </c>
      <c r="K96" t="str">
        <f>"YTMZLF"</f>
        <v>YTMZLF</v>
      </c>
      <c r="L96" t="str">
        <f>"AETIUX"</f>
        <v>AETIUX</v>
      </c>
      <c r="M96">
        <v>5</v>
      </c>
      <c r="O96" t="str">
        <f t="shared" si="30"/>
        <v>每牙</v>
      </c>
      <c r="P96" t="str">
        <f t="shared" si="26"/>
        <v>治疗费</v>
      </c>
    </row>
    <row r="97" spans="1:16">
      <c r="A97" t="str">
        <f>"预成冠修复费"</f>
        <v>预成冠修复费</v>
      </c>
      <c r="B97" t="str">
        <f>"013105010190000"</f>
        <v>013105010190000</v>
      </c>
      <c r="C97" t="str">
        <f t="shared" si="24"/>
        <v>治疗</v>
      </c>
      <c r="G97">
        <v>130</v>
      </c>
      <c r="K97" t="str">
        <f>"YCGXFF"</f>
        <v>YCGXFF</v>
      </c>
      <c r="L97" t="str">
        <f>"CDPWTX"</f>
        <v>CDPWTX</v>
      </c>
      <c r="M97">
        <v>130</v>
      </c>
      <c r="O97" t="str">
        <f t="shared" si="30"/>
        <v>每牙</v>
      </c>
      <c r="P97" t="str">
        <f t="shared" si="26"/>
        <v>治疗费</v>
      </c>
    </row>
    <row r="98" spans="1:16">
      <c r="A98" t="str">
        <f>"颌间结扎费"</f>
        <v>颌间结扎费</v>
      </c>
      <c r="B98" t="str">
        <f>"013105010200000"</f>
        <v>013105010200000</v>
      </c>
      <c r="C98" t="str">
        <f t="shared" si="24"/>
        <v>治疗</v>
      </c>
      <c r="G98">
        <v>304</v>
      </c>
      <c r="K98" t="str">
        <f>"HJJZF"</f>
        <v>HJJZF</v>
      </c>
      <c r="L98" t="str">
        <f>"WUXRX"</f>
        <v>WUXRX</v>
      </c>
      <c r="M98">
        <v>304</v>
      </c>
      <c r="O98" t="str">
        <f t="shared" ref="O98:O101" si="31">"单颌"</f>
        <v>单颌</v>
      </c>
      <c r="P98" t="str">
        <f t="shared" si="26"/>
        <v>治疗费</v>
      </c>
    </row>
    <row r="99" spans="1:16">
      <c r="A99" t="str">
        <f>"颌间结扎费-儿童（加收）"</f>
        <v>颌间结扎费-儿童（加收）</v>
      </c>
      <c r="B99" t="str">
        <f>"013105010200001"</f>
        <v>013105010200001</v>
      </c>
      <c r="C99" t="str">
        <f t="shared" si="24"/>
        <v>治疗</v>
      </c>
      <c r="G99">
        <v>91.2</v>
      </c>
      <c r="K99" t="str">
        <f>"HJJZFETJS"</f>
        <v>HJJZFETJS</v>
      </c>
      <c r="L99" t="str">
        <f>"WUXRXQULN"</f>
        <v>WUXRXQULN</v>
      </c>
      <c r="M99">
        <v>91.2</v>
      </c>
      <c r="O99" t="str">
        <f t="shared" si="31"/>
        <v>单颌</v>
      </c>
      <c r="P99" t="str">
        <f t="shared" si="26"/>
        <v>治疗费</v>
      </c>
    </row>
    <row r="100" spans="1:16">
      <c r="A100" t="str">
        <f>"颌间结扎拆除费"</f>
        <v>颌间结扎拆除费</v>
      </c>
      <c r="B100" t="str">
        <f>"013105010210000"</f>
        <v>013105010210000</v>
      </c>
      <c r="C100" t="str">
        <f t="shared" si="24"/>
        <v>治疗</v>
      </c>
      <c r="G100">
        <v>42</v>
      </c>
      <c r="K100" t="str">
        <f>"HJJZCCF"</f>
        <v>HJJZCCF</v>
      </c>
      <c r="L100" t="str">
        <f>"WUXRRBX"</f>
        <v>WUXRRBX</v>
      </c>
      <c r="M100">
        <v>42</v>
      </c>
      <c r="O100" t="str">
        <f t="shared" si="31"/>
        <v>单颌</v>
      </c>
      <c r="P100" t="str">
        <f t="shared" si="26"/>
        <v>治疗费</v>
      </c>
    </row>
    <row r="101" spans="1:16">
      <c r="A101" t="str">
        <f>"颌间结扎拆除费-儿童（加收）"</f>
        <v>颌间结扎拆除费-儿童（加收）</v>
      </c>
      <c r="B101" t="str">
        <f>"013105010210001"</f>
        <v>013105010210001</v>
      </c>
      <c r="C101" t="str">
        <f t="shared" si="24"/>
        <v>治疗</v>
      </c>
      <c r="G101">
        <v>12.6</v>
      </c>
      <c r="K101" t="str">
        <f>"HJJZCCFETJS"</f>
        <v>HJJZCCFETJS</v>
      </c>
      <c r="L101" t="str">
        <f>"WUXRRBXQULN"</f>
        <v>WUXRRBXQULN</v>
      </c>
      <c r="M101">
        <v>12.6</v>
      </c>
      <c r="O101" t="str">
        <f t="shared" si="31"/>
        <v>单颌</v>
      </c>
      <c r="P101" t="str">
        <f t="shared" si="26"/>
        <v>治疗费</v>
      </c>
    </row>
    <row r="102" spans="1:16">
      <c r="A102" t="str">
        <f>"牙周冲洗上药费"</f>
        <v>牙周冲洗上药费</v>
      </c>
      <c r="B102" t="str">
        <f>"013105010240000"</f>
        <v>013105010240000</v>
      </c>
      <c r="C102" t="str">
        <f t="shared" si="24"/>
        <v>治疗</v>
      </c>
      <c r="G102">
        <v>9</v>
      </c>
      <c r="K102" t="str">
        <f>"YZCXSYF"</f>
        <v>YZCXSYF</v>
      </c>
      <c r="L102" t="str">
        <f>"AMUIHAX"</f>
        <v>AMUIHAX</v>
      </c>
      <c r="M102">
        <v>9</v>
      </c>
      <c r="O102" t="str">
        <f t="shared" ref="O102:O111" si="32">"每牙"</f>
        <v>每牙</v>
      </c>
      <c r="P102" t="str">
        <f t="shared" si="26"/>
        <v>治疗费</v>
      </c>
    </row>
    <row r="103" spans="1:16">
      <c r="A103" t="str">
        <f>"牙周塞治费"</f>
        <v>牙周塞治费</v>
      </c>
      <c r="B103" t="str">
        <f>"013105010250000"</f>
        <v>013105010250000</v>
      </c>
      <c r="C103" t="str">
        <f t="shared" si="24"/>
        <v>治疗</v>
      </c>
      <c r="G103">
        <v>10</v>
      </c>
      <c r="K103" t="str">
        <f>"YZSZF"</f>
        <v>YZSZF</v>
      </c>
      <c r="L103" t="str">
        <f>"AMPIX"</f>
        <v>AMPIX</v>
      </c>
      <c r="M103">
        <v>10</v>
      </c>
      <c r="O103" t="str">
        <f t="shared" si="32"/>
        <v>每牙</v>
      </c>
      <c r="P103" t="str">
        <f t="shared" si="26"/>
        <v>治疗费</v>
      </c>
    </row>
    <row r="104" spans="1:16">
      <c r="A104" t="str">
        <f>"牙周塞治费-口腔局部止血费（扩展）"</f>
        <v>牙周塞治费-口腔局部止血费（扩展）</v>
      </c>
      <c r="B104" t="str">
        <f>"013105010250100"</f>
        <v>013105010250100</v>
      </c>
      <c r="C104" t="str">
        <f t="shared" si="24"/>
        <v>治疗</v>
      </c>
      <c r="G104">
        <v>10</v>
      </c>
      <c r="K104" t="str">
        <f>"YZSZFKQJBZXFKZ"</f>
        <v>YZSZFKQJBZXFKZ</v>
      </c>
      <c r="L104" t="str">
        <f>"AMPIXKENUHTXRN"</f>
        <v>AMPIXKENUHTXRN</v>
      </c>
      <c r="M104">
        <v>10</v>
      </c>
      <c r="O104" t="str">
        <f t="shared" si="32"/>
        <v>每牙</v>
      </c>
      <c r="P104" t="str">
        <f t="shared" si="26"/>
        <v>治疗费</v>
      </c>
    </row>
    <row r="105" spans="1:16">
      <c r="A105" t="str">
        <f>"龈上洁治费"</f>
        <v>龈上洁治费</v>
      </c>
      <c r="B105" t="str">
        <f>"013105010260000"</f>
        <v>013105010260000</v>
      </c>
      <c r="C105" t="str">
        <f t="shared" si="24"/>
        <v>治疗</v>
      </c>
      <c r="G105">
        <v>4</v>
      </c>
      <c r="K105" t="str">
        <f>"YSJZF"</f>
        <v>YSJZF</v>
      </c>
      <c r="L105" t="str">
        <f>"HHIIX"</f>
        <v>HHIIX</v>
      </c>
      <c r="M105">
        <v>4</v>
      </c>
      <c r="O105" t="str">
        <f t="shared" si="32"/>
        <v>每牙</v>
      </c>
      <c r="P105" t="str">
        <f t="shared" si="26"/>
        <v>治疗费</v>
      </c>
    </row>
    <row r="106" spans="1:16">
      <c r="A106" t="str">
        <f>"龈上洁治费-种植牙洁治（加收）"</f>
        <v>龈上洁治费-种植牙洁治（加收）</v>
      </c>
      <c r="B106" t="str">
        <f>"013105010260001"</f>
        <v>013105010260001</v>
      </c>
      <c r="C106" t="str">
        <f t="shared" si="24"/>
        <v>治疗</v>
      </c>
      <c r="G106">
        <v>15</v>
      </c>
      <c r="K106" t="str">
        <f>"YSJZFZZYJZJS"</f>
        <v>YSJZFZZYJZJS</v>
      </c>
      <c r="L106" t="str">
        <f>"HHIIXTSAIILN"</f>
        <v>HHIIXTSAIILN</v>
      </c>
      <c r="M106">
        <v>15</v>
      </c>
      <c r="O106" t="str">
        <f t="shared" si="32"/>
        <v>每牙</v>
      </c>
      <c r="P106" t="str">
        <f t="shared" si="26"/>
        <v>治疗费</v>
      </c>
    </row>
    <row r="107" spans="1:16">
      <c r="A107" t="str">
        <f>"牙面抛光费"</f>
        <v>牙面抛光费</v>
      </c>
      <c r="B107" t="str">
        <f>"013105010270000"</f>
        <v>013105010270000</v>
      </c>
      <c r="C107" t="str">
        <f t="shared" si="24"/>
        <v>治疗</v>
      </c>
      <c r="G107">
        <v>1.2</v>
      </c>
      <c r="K107" t="str">
        <f>"YMPGF"</f>
        <v>YMPGF</v>
      </c>
      <c r="L107" t="str">
        <f>"ADRIX"</f>
        <v>ADRIX</v>
      </c>
      <c r="M107">
        <v>1.2</v>
      </c>
      <c r="O107" t="str">
        <f t="shared" si="32"/>
        <v>每牙</v>
      </c>
      <c r="P107" t="str">
        <f t="shared" si="26"/>
        <v>治疗费</v>
      </c>
    </row>
    <row r="108" spans="1:16">
      <c r="A108" t="str">
        <f>"龈下刮治费"</f>
        <v>龈下刮治费</v>
      </c>
      <c r="B108" t="str">
        <f>"013105010290000"</f>
        <v>013105010290000</v>
      </c>
      <c r="C108" t="str">
        <f t="shared" si="24"/>
        <v>治疗</v>
      </c>
      <c r="G108">
        <v>6</v>
      </c>
      <c r="K108" t="str">
        <f>"YXGZF"</f>
        <v>YXGZF</v>
      </c>
      <c r="L108" t="str">
        <f>"HGTIX"</f>
        <v>HGTIX</v>
      </c>
      <c r="M108">
        <v>6</v>
      </c>
      <c r="O108" t="str">
        <f t="shared" si="32"/>
        <v>每牙</v>
      </c>
      <c r="P108" t="str">
        <f t="shared" si="26"/>
        <v>治疗费</v>
      </c>
    </row>
    <row r="109" spans="1:16">
      <c r="A109" t="str">
        <f>"松牙固定费"</f>
        <v>松牙固定费</v>
      </c>
      <c r="B109" t="str">
        <f>"013105010300000"</f>
        <v>013105010300000</v>
      </c>
      <c r="C109" t="str">
        <f t="shared" si="24"/>
        <v>治疗</v>
      </c>
      <c r="G109">
        <v>104</v>
      </c>
      <c r="K109" t="str">
        <f>"SYGDF"</f>
        <v>SYGDF</v>
      </c>
      <c r="L109" t="str">
        <f>"SALPX"</f>
        <v>SALPX</v>
      </c>
      <c r="M109">
        <v>104</v>
      </c>
      <c r="O109" t="str">
        <f t="shared" si="32"/>
        <v>每牙</v>
      </c>
      <c r="P109" t="str">
        <f t="shared" si="26"/>
        <v>治疗费</v>
      </c>
    </row>
    <row r="110" spans="1:16">
      <c r="A110" t="str">
        <f>"松牙固定费-外伤牙固定费（扩展）"</f>
        <v>松牙固定费-外伤牙固定费（扩展）</v>
      </c>
      <c r="B110" t="str">
        <f>"013105010300100"</f>
        <v>013105010300100</v>
      </c>
      <c r="C110" t="str">
        <f t="shared" si="24"/>
        <v>治疗</v>
      </c>
      <c r="G110">
        <v>104</v>
      </c>
      <c r="K110" t="str">
        <f>"SYGDFWSYGDFKZ"</f>
        <v>SYGDFWSYGDFKZ</v>
      </c>
      <c r="L110" t="str">
        <f>"SALPXQWALPXRN"</f>
        <v>SALPXQWALPXRN</v>
      </c>
      <c r="M110">
        <v>104</v>
      </c>
      <c r="O110" t="str">
        <f t="shared" si="32"/>
        <v>每牙</v>
      </c>
      <c r="P110" t="str">
        <f t="shared" si="26"/>
        <v>治疗费</v>
      </c>
    </row>
    <row r="111" spans="1:16">
      <c r="A111" t="str">
        <f>"松牙固定拆除费"</f>
        <v>松牙固定拆除费</v>
      </c>
      <c r="B111" t="str">
        <f>"013105010310000"</f>
        <v>013105010310000</v>
      </c>
      <c r="C111" t="str">
        <f t="shared" si="24"/>
        <v>治疗</v>
      </c>
      <c r="G111">
        <v>7</v>
      </c>
      <c r="K111" t="str">
        <f>"SYGDCCF"</f>
        <v>SYGDCCF</v>
      </c>
      <c r="L111" t="str">
        <f>"SALPRBX"</f>
        <v>SALPRBX</v>
      </c>
      <c r="M111">
        <v>7</v>
      </c>
      <c r="O111" t="str">
        <f t="shared" si="32"/>
        <v>每牙</v>
      </c>
      <c r="P111" t="str">
        <f t="shared" si="26"/>
        <v>治疗费</v>
      </c>
    </row>
    <row r="112" spans="1:16">
      <c r="A112" t="str">
        <f>"调牙合治疗费"</f>
        <v>调牙合治疗费</v>
      </c>
      <c r="B112" t="str">
        <f>"013105010320000"</f>
        <v>013105010320000</v>
      </c>
      <c r="C112" t="str">
        <f t="shared" si="24"/>
        <v>治疗</v>
      </c>
      <c r="G112">
        <v>54</v>
      </c>
      <c r="I112" t="str">
        <f>"次"</f>
        <v>次</v>
      </c>
      <c r="K112" t="str">
        <f>"DYHZLF"</f>
        <v>DYHZLF</v>
      </c>
      <c r="L112" t="str">
        <f>"YAWIUX"</f>
        <v>YAWIUX</v>
      </c>
      <c r="M112">
        <v>54</v>
      </c>
      <c r="O112" t="str">
        <f>"次"</f>
        <v>次</v>
      </c>
      <c r="P112" t="str">
        <f t="shared" si="26"/>
        <v>治疗费</v>
      </c>
    </row>
    <row r="113" spans="1:16">
      <c r="A113" t="str">
        <f>"牙根牵引费"</f>
        <v>牙根牵引费</v>
      </c>
      <c r="B113" t="str">
        <f>"013105010330000"</f>
        <v>013105010330000</v>
      </c>
      <c r="C113" t="str">
        <f t="shared" si="24"/>
        <v>治疗</v>
      </c>
      <c r="G113">
        <v>82</v>
      </c>
      <c r="K113" t="str">
        <f>"YGQYF"</f>
        <v>YGQYF</v>
      </c>
      <c r="L113" t="str">
        <f>"ASDXX"</f>
        <v>ASDXX</v>
      </c>
      <c r="M113">
        <v>82</v>
      </c>
      <c r="O113" t="str">
        <f>"每牙"</f>
        <v>每牙</v>
      </c>
      <c r="P113" t="str">
        <f t="shared" si="26"/>
        <v>治疗费</v>
      </c>
    </row>
    <row r="114" spans="1:16">
      <c r="A114" t="str">
        <f>"乳牙期错合矫治费（常规）"</f>
        <v>乳牙期错合矫治费（常规）</v>
      </c>
      <c r="B114" t="str">
        <f>"013105020010000"</f>
        <v>013105020010000</v>
      </c>
      <c r="C114" t="str">
        <f t="shared" si="24"/>
        <v>治疗</v>
      </c>
      <c r="G114">
        <v>3060</v>
      </c>
      <c r="K114" t="str">
        <f>"RYQCHJZFCG"</f>
        <v>RYQCHJZFCG</v>
      </c>
      <c r="L114" t="str">
        <f>"EAAQWTIXIF"</f>
        <v>EAAQWTIXIF</v>
      </c>
      <c r="M114">
        <v>3060</v>
      </c>
      <c r="O114" t="str">
        <f t="shared" ref="O114:O130" si="33">"疗程"</f>
        <v>疗程</v>
      </c>
      <c r="P114" t="str">
        <f t="shared" si="26"/>
        <v>治疗费</v>
      </c>
    </row>
    <row r="115" spans="1:16">
      <c r="A115" t="str">
        <f>"乳牙期错合矫治费（复杂）"</f>
        <v>乳牙期错合矫治费（复杂）</v>
      </c>
      <c r="B115" t="str">
        <f>"013105020020000"</f>
        <v>013105020020000</v>
      </c>
      <c r="C115" t="str">
        <f t="shared" si="24"/>
        <v>治疗</v>
      </c>
      <c r="G115">
        <v>4590</v>
      </c>
      <c r="I115" t="str">
        <f>"疗程"</f>
        <v>疗程</v>
      </c>
      <c r="K115" t="str">
        <f>"RYQCHJZFFZ"</f>
        <v>RYQCHJZFFZ</v>
      </c>
      <c r="L115" t="str">
        <f>"EAAQWTIXTV"</f>
        <v>EAAQWTIXTV</v>
      </c>
      <c r="M115">
        <v>4590</v>
      </c>
      <c r="O115" t="str">
        <f t="shared" si="33"/>
        <v>疗程</v>
      </c>
      <c r="P115" t="str">
        <f t="shared" si="26"/>
        <v>治疗费</v>
      </c>
    </row>
    <row r="116" spans="1:16">
      <c r="A116" t="str">
        <f>"替牙期Ⅰ类错合矫治费（常规）"</f>
        <v>替牙期Ⅰ类错合矫治费（常规）</v>
      </c>
      <c r="B116" t="str">
        <f>"013105020030000"</f>
        <v>013105020030000</v>
      </c>
      <c r="C116" t="str">
        <f t="shared" si="24"/>
        <v>治疗</v>
      </c>
      <c r="G116">
        <v>6060</v>
      </c>
      <c r="K116" t="str">
        <f t="shared" ref="K116:K120" si="34">"TYQLCHJZFCG"</f>
        <v>TYQLCHJZFCG</v>
      </c>
      <c r="L116" t="str">
        <f t="shared" ref="L116:L120" si="35">"FAAOQWTIXIF"</f>
        <v>FAAOQWTIXIF</v>
      </c>
      <c r="M116">
        <v>6060</v>
      </c>
      <c r="O116" t="str">
        <f t="shared" si="33"/>
        <v>疗程</v>
      </c>
      <c r="P116" t="str">
        <f t="shared" si="26"/>
        <v>治疗费</v>
      </c>
    </row>
    <row r="117" spans="1:16">
      <c r="A117" t="str">
        <f>"替牙期Ⅰ类错合矫治费（复杂）"</f>
        <v>替牙期Ⅰ类错合矫治费（复杂）</v>
      </c>
      <c r="B117" t="str">
        <f>"013105020040000"</f>
        <v>013105020040000</v>
      </c>
      <c r="C117" t="str">
        <f t="shared" si="24"/>
        <v>治疗</v>
      </c>
      <c r="G117">
        <v>9090</v>
      </c>
      <c r="K117" t="str">
        <f t="shared" ref="K117:K121" si="36">"TYQLCHJZFFZ"</f>
        <v>TYQLCHJZFFZ</v>
      </c>
      <c r="L117" t="str">
        <f t="shared" ref="L117:L121" si="37">"FAAOQWTIXTV"</f>
        <v>FAAOQWTIXTV</v>
      </c>
      <c r="M117">
        <v>9090</v>
      </c>
      <c r="O117" t="str">
        <f t="shared" si="33"/>
        <v>疗程</v>
      </c>
      <c r="P117" t="str">
        <f t="shared" si="26"/>
        <v>治疗费</v>
      </c>
    </row>
    <row r="118" spans="1:16">
      <c r="A118" t="str">
        <f>"替牙期Ⅱ类错合矫治费（常规）"</f>
        <v>替牙期Ⅱ类错合矫治费（常规）</v>
      </c>
      <c r="B118" t="str">
        <f>"013105020050000"</f>
        <v>013105020050000</v>
      </c>
      <c r="C118" t="str">
        <f t="shared" si="24"/>
        <v>治疗</v>
      </c>
      <c r="G118">
        <v>7060</v>
      </c>
      <c r="K118" t="str">
        <f t="shared" si="34"/>
        <v>TYQLCHJZFCG</v>
      </c>
      <c r="L118" t="str">
        <f t="shared" si="35"/>
        <v>FAAOQWTIXIF</v>
      </c>
      <c r="M118">
        <v>7060</v>
      </c>
      <c r="O118" t="str">
        <f t="shared" si="33"/>
        <v>疗程</v>
      </c>
      <c r="P118" t="str">
        <f t="shared" si="26"/>
        <v>治疗费</v>
      </c>
    </row>
    <row r="119" spans="1:16">
      <c r="A119" t="str">
        <f>"替牙期Ⅱ类错合矫治费（复杂）"</f>
        <v>替牙期Ⅱ类错合矫治费（复杂）</v>
      </c>
      <c r="B119" t="str">
        <f>"013105020060000"</f>
        <v>013105020060000</v>
      </c>
      <c r="C119" t="str">
        <f t="shared" si="24"/>
        <v>治疗</v>
      </c>
      <c r="G119">
        <v>10590</v>
      </c>
      <c r="K119" t="str">
        <f t="shared" si="36"/>
        <v>TYQLCHJZFFZ</v>
      </c>
      <c r="L119" t="str">
        <f t="shared" si="37"/>
        <v>FAAOQWTIXTV</v>
      </c>
      <c r="M119">
        <v>10590</v>
      </c>
      <c r="O119" t="str">
        <f t="shared" si="33"/>
        <v>疗程</v>
      </c>
      <c r="P119" t="str">
        <f t="shared" si="26"/>
        <v>治疗费</v>
      </c>
    </row>
    <row r="120" spans="1:16">
      <c r="A120" t="str">
        <f>"替牙期Ⅲ类错合矫治费（常规）"</f>
        <v>替牙期Ⅲ类错合矫治费（常规）</v>
      </c>
      <c r="B120" t="str">
        <f>"013105020070000"</f>
        <v>013105020070000</v>
      </c>
      <c r="C120" t="str">
        <f t="shared" si="24"/>
        <v>治疗</v>
      </c>
      <c r="G120">
        <v>8060</v>
      </c>
      <c r="K120" t="str">
        <f t="shared" si="34"/>
        <v>TYQLCHJZFCG</v>
      </c>
      <c r="L120" t="str">
        <f t="shared" si="35"/>
        <v>FAAOQWTIXIF</v>
      </c>
      <c r="M120">
        <v>8060</v>
      </c>
      <c r="O120" t="str">
        <f t="shared" si="33"/>
        <v>疗程</v>
      </c>
      <c r="P120" t="str">
        <f t="shared" si="26"/>
        <v>治疗费</v>
      </c>
    </row>
    <row r="121" spans="1:16">
      <c r="A121" t="str">
        <f>"替牙期Ⅲ类错合矫治费（复杂）"</f>
        <v>替牙期Ⅲ类错合矫治费（复杂）</v>
      </c>
      <c r="B121" t="str">
        <f>"013105020080000"</f>
        <v>013105020080000</v>
      </c>
      <c r="C121" t="str">
        <f t="shared" si="24"/>
        <v>治疗</v>
      </c>
      <c r="G121">
        <v>12090</v>
      </c>
      <c r="K121" t="str">
        <f t="shared" si="36"/>
        <v>TYQLCHJZFFZ</v>
      </c>
      <c r="L121" t="str">
        <f t="shared" si="37"/>
        <v>FAAOQWTIXTV</v>
      </c>
      <c r="M121">
        <v>12090</v>
      </c>
      <c r="O121" t="str">
        <f t="shared" si="33"/>
        <v>疗程</v>
      </c>
      <c r="P121" t="str">
        <f t="shared" si="26"/>
        <v>治疗费</v>
      </c>
    </row>
    <row r="122" spans="1:16">
      <c r="A122" t="str">
        <f>"恒牙期Ⅰ类错合矫治费（常规）"</f>
        <v>恒牙期Ⅰ类错合矫治费（常规）</v>
      </c>
      <c r="B122" t="str">
        <f>"013105020090000"</f>
        <v>013105020090000</v>
      </c>
      <c r="C122" t="str">
        <f t="shared" si="24"/>
        <v>治疗</v>
      </c>
      <c r="G122">
        <v>16060</v>
      </c>
      <c r="K122" t="str">
        <f t="shared" ref="K122:K126" si="38">"HYQLCHJZFCG"</f>
        <v>HYQLCHJZFCG</v>
      </c>
      <c r="L122" t="str">
        <f t="shared" ref="L122:L126" si="39">"NAAOQWTIXIF"</f>
        <v>NAAOQWTIXIF</v>
      </c>
      <c r="M122">
        <v>16060</v>
      </c>
      <c r="O122" t="str">
        <f t="shared" si="33"/>
        <v>疗程</v>
      </c>
      <c r="P122" t="str">
        <f t="shared" si="26"/>
        <v>治疗费</v>
      </c>
    </row>
    <row r="123" spans="1:16">
      <c r="A123" t="str">
        <f>"恒牙期Ⅰ类错合矫治费（复杂）"</f>
        <v>恒牙期Ⅰ类错合矫治费（复杂）</v>
      </c>
      <c r="B123" t="str">
        <f>"013105020100000"</f>
        <v>013105020100000</v>
      </c>
      <c r="C123" t="str">
        <f t="shared" si="24"/>
        <v>治疗</v>
      </c>
      <c r="G123">
        <v>24090</v>
      </c>
      <c r="K123" t="str">
        <f t="shared" ref="K123:K127" si="40">"HYQLCHJZFFZ"</f>
        <v>HYQLCHJZFFZ</v>
      </c>
      <c r="L123" t="str">
        <f t="shared" ref="L123:L127" si="41">"NAAOQWTIXTV"</f>
        <v>NAAOQWTIXTV</v>
      </c>
      <c r="M123">
        <v>24090</v>
      </c>
      <c r="O123" t="str">
        <f t="shared" si="33"/>
        <v>疗程</v>
      </c>
      <c r="P123" t="str">
        <f t="shared" si="26"/>
        <v>治疗费</v>
      </c>
    </row>
    <row r="124" spans="1:16">
      <c r="A124" t="str">
        <f>"恒牙期Ⅱ类错合矫治费（常规）"</f>
        <v>恒牙期Ⅱ类错合矫治费（常规）</v>
      </c>
      <c r="B124" t="str">
        <f>"013105020110000"</f>
        <v>013105020110000</v>
      </c>
      <c r="C124" t="str">
        <f t="shared" si="24"/>
        <v>治疗</v>
      </c>
      <c r="G124">
        <v>17560</v>
      </c>
      <c r="K124" t="str">
        <f t="shared" si="38"/>
        <v>HYQLCHJZFCG</v>
      </c>
      <c r="L124" t="str">
        <f t="shared" si="39"/>
        <v>NAAOQWTIXIF</v>
      </c>
      <c r="M124">
        <v>17560</v>
      </c>
      <c r="O124" t="str">
        <f t="shared" si="33"/>
        <v>疗程</v>
      </c>
      <c r="P124" t="str">
        <f t="shared" si="26"/>
        <v>治疗费</v>
      </c>
    </row>
    <row r="125" spans="1:16">
      <c r="A125" t="str">
        <f>"恒牙期Ⅱ类错合矫治费（复杂）"</f>
        <v>恒牙期Ⅱ类错合矫治费（复杂）</v>
      </c>
      <c r="B125" t="str">
        <f>"013105020120000"</f>
        <v>013105020120000</v>
      </c>
      <c r="C125" t="str">
        <f t="shared" si="24"/>
        <v>治疗</v>
      </c>
      <c r="G125">
        <v>26430</v>
      </c>
      <c r="K125" t="str">
        <f t="shared" si="40"/>
        <v>HYQLCHJZFFZ</v>
      </c>
      <c r="L125" t="str">
        <f t="shared" si="41"/>
        <v>NAAOQWTIXTV</v>
      </c>
      <c r="M125">
        <v>26430</v>
      </c>
      <c r="O125" t="str">
        <f t="shared" si="33"/>
        <v>疗程</v>
      </c>
      <c r="P125" t="str">
        <f t="shared" si="26"/>
        <v>治疗费</v>
      </c>
    </row>
    <row r="126" spans="1:16">
      <c r="A126" t="str">
        <f>"恒牙期Ⅲ类错合矫治费（常规）"</f>
        <v>恒牙期Ⅲ类错合矫治费（常规）</v>
      </c>
      <c r="B126" t="str">
        <f>"013105020130000"</f>
        <v>013105020130000</v>
      </c>
      <c r="C126" t="str">
        <f t="shared" si="24"/>
        <v>治疗</v>
      </c>
      <c r="G126">
        <v>19060</v>
      </c>
      <c r="K126" t="str">
        <f t="shared" si="38"/>
        <v>HYQLCHJZFCG</v>
      </c>
      <c r="L126" t="str">
        <f t="shared" si="39"/>
        <v>NAAOQWTIXIF</v>
      </c>
      <c r="M126">
        <v>19060</v>
      </c>
      <c r="O126" t="str">
        <f t="shared" si="33"/>
        <v>疗程</v>
      </c>
      <c r="P126" t="str">
        <f t="shared" si="26"/>
        <v>治疗费</v>
      </c>
    </row>
    <row r="127" spans="1:16">
      <c r="A127" t="str">
        <f>"恒牙期Ⅲ类错合矫治费（复杂）"</f>
        <v>恒牙期Ⅲ类错合矫治费（复杂）</v>
      </c>
      <c r="B127" t="str">
        <f>"013105020140000"</f>
        <v>013105020140000</v>
      </c>
      <c r="C127" t="str">
        <f t="shared" si="24"/>
        <v>治疗</v>
      </c>
      <c r="G127">
        <v>28590</v>
      </c>
      <c r="K127" t="str">
        <f t="shared" si="40"/>
        <v>HYQLCHJZFFZ</v>
      </c>
      <c r="L127" t="str">
        <f t="shared" si="41"/>
        <v>NAAOQWTIXTV</v>
      </c>
      <c r="M127">
        <v>28590</v>
      </c>
      <c r="O127" t="str">
        <f t="shared" si="33"/>
        <v>疗程</v>
      </c>
      <c r="P127" t="str">
        <f t="shared" si="26"/>
        <v>治疗费</v>
      </c>
    </row>
    <row r="128" spans="1:16">
      <c r="A128" t="str">
        <f>"恒牙期Ⅰ类错合矫形功能治疗费"</f>
        <v>恒牙期Ⅰ类错合矫形功能治疗费</v>
      </c>
      <c r="B128" t="str">
        <f>"013105020150000"</f>
        <v>013105020150000</v>
      </c>
      <c r="C128" t="str">
        <f t="shared" si="24"/>
        <v>治疗</v>
      </c>
      <c r="G128">
        <v>6060</v>
      </c>
      <c r="K128" t="str">
        <f t="shared" ref="K128:K130" si="42">"HYQLCHJXGNZLF"</f>
        <v>HYQLCHJXGNZLF</v>
      </c>
      <c r="L128" t="str">
        <f t="shared" ref="L128:L130" si="43">"NAAOQWTGACIUX"</f>
        <v>NAAOQWTGACIUX</v>
      </c>
      <c r="M128">
        <v>6060</v>
      </c>
      <c r="O128" t="str">
        <f t="shared" si="33"/>
        <v>疗程</v>
      </c>
      <c r="P128" t="str">
        <f t="shared" si="26"/>
        <v>治疗费</v>
      </c>
    </row>
    <row r="129" spans="1:16">
      <c r="A129" t="str">
        <f>"恒牙期Ⅱ类错合矫形功能治疗费"</f>
        <v>恒牙期Ⅱ类错合矫形功能治疗费</v>
      </c>
      <c r="B129" t="str">
        <f>"013105020160000"</f>
        <v>013105020160000</v>
      </c>
      <c r="C129" t="str">
        <f t="shared" ref="C129:C150" si="44">"治疗"</f>
        <v>治疗</v>
      </c>
      <c r="G129">
        <v>7060</v>
      </c>
      <c r="K129" t="str">
        <f t="shared" si="42"/>
        <v>HYQLCHJXGNZLF</v>
      </c>
      <c r="L129" t="str">
        <f t="shared" si="43"/>
        <v>NAAOQWTGACIUX</v>
      </c>
      <c r="M129">
        <v>7060</v>
      </c>
      <c r="O129" t="str">
        <f t="shared" si="33"/>
        <v>疗程</v>
      </c>
      <c r="P129" t="str">
        <f t="shared" ref="P129:P150" si="45">"治疗费"</f>
        <v>治疗费</v>
      </c>
    </row>
    <row r="130" spans="1:16">
      <c r="A130" t="str">
        <f>"恒牙期Ⅲ类错合矫形功能治疗费"</f>
        <v>恒牙期Ⅲ类错合矫形功能治疗费</v>
      </c>
      <c r="B130" t="str">
        <f>"013105020170000"</f>
        <v>013105020170000</v>
      </c>
      <c r="C130" t="str">
        <f t="shared" si="44"/>
        <v>治疗</v>
      </c>
      <c r="G130">
        <v>8060</v>
      </c>
      <c r="K130" t="str">
        <f t="shared" si="42"/>
        <v>HYQLCHJXGNZLF</v>
      </c>
      <c r="L130" t="str">
        <f t="shared" si="43"/>
        <v>NAAOQWTGACIUX</v>
      </c>
      <c r="M130">
        <v>8060</v>
      </c>
      <c r="O130" t="str">
        <f t="shared" si="33"/>
        <v>疗程</v>
      </c>
      <c r="P130" t="str">
        <f t="shared" si="45"/>
        <v>治疗费</v>
      </c>
    </row>
    <row r="131" spans="1:16">
      <c r="A131" t="str">
        <f>"局部正畸矫治费"</f>
        <v>局部正畸矫治费</v>
      </c>
      <c r="B131" t="str">
        <f>"013105020200000"</f>
        <v>013105020200000</v>
      </c>
      <c r="C131" t="str">
        <f t="shared" si="44"/>
        <v>治疗</v>
      </c>
      <c r="G131">
        <v>5500</v>
      </c>
      <c r="K131" t="str">
        <f>"JBZJJZF"</f>
        <v>JBZJJZF</v>
      </c>
      <c r="L131" t="str">
        <f>"NUGLTIX"</f>
        <v>NUGLTIX</v>
      </c>
      <c r="M131">
        <v>5500</v>
      </c>
      <c r="O131" t="str">
        <f>"象限·疗程"</f>
        <v>象限·疗程</v>
      </c>
      <c r="P131" t="str">
        <f t="shared" si="45"/>
        <v>治疗费</v>
      </c>
    </row>
    <row r="132" spans="1:16">
      <c r="A132" t="str">
        <f>"口腔固定保持器安装费"</f>
        <v>口腔固定保持器安装费</v>
      </c>
      <c r="B132" t="str">
        <f>"013105020210000"</f>
        <v>013105020210000</v>
      </c>
      <c r="C132" t="str">
        <f t="shared" si="44"/>
        <v>治疗</v>
      </c>
      <c r="G132">
        <v>104</v>
      </c>
      <c r="K132" t="str">
        <f>"KQGDBCQAZF"</f>
        <v>KQGDBCQAZF</v>
      </c>
      <c r="L132" t="str">
        <f>"KELPWRKPUX"</f>
        <v>KELPWRKPUX</v>
      </c>
      <c r="M132">
        <v>104</v>
      </c>
      <c r="O132" t="str">
        <f>"单颌"</f>
        <v>单颌</v>
      </c>
      <c r="P132" t="str">
        <f t="shared" si="45"/>
        <v>治疗费</v>
      </c>
    </row>
    <row r="133" spans="1:16">
      <c r="A133" t="str">
        <f>"口腔固定保持器拆除费"</f>
        <v>口腔固定保持器拆除费</v>
      </c>
      <c r="B133" t="str">
        <f>"013105020220000"</f>
        <v>013105020220000</v>
      </c>
      <c r="C133" t="str">
        <f t="shared" si="44"/>
        <v>治疗</v>
      </c>
      <c r="G133">
        <v>104</v>
      </c>
      <c r="K133" t="str">
        <f>"KQGDBCQCCF"</f>
        <v>KQGDBCQCCF</v>
      </c>
      <c r="L133" t="str">
        <f>"KELPWRKRBX"</f>
        <v>KELPWRKRBX</v>
      </c>
      <c r="M133">
        <v>104</v>
      </c>
      <c r="O133" t="str">
        <f>"单颌"</f>
        <v>单颌</v>
      </c>
      <c r="P133" t="str">
        <f t="shared" si="45"/>
        <v>治疗费</v>
      </c>
    </row>
    <row r="134" spans="1:16">
      <c r="A134" t="str">
        <f>"错合畸形治疗设计费"</f>
        <v>错合畸形治疗设计费</v>
      </c>
      <c r="B134" t="str">
        <f>"013105020230000"</f>
        <v>013105020230000</v>
      </c>
      <c r="C134" t="str">
        <f t="shared" si="44"/>
        <v>治疗</v>
      </c>
      <c r="G134">
        <v>650</v>
      </c>
      <c r="K134" t="str">
        <f>"CHJXZLSJF"</f>
        <v>CHJXZLSJF</v>
      </c>
      <c r="L134" t="str">
        <f>"QWLGIUYYX"</f>
        <v>QWLGIUYYX</v>
      </c>
      <c r="M134">
        <v>650</v>
      </c>
      <c r="O134" t="str">
        <f>"次"</f>
        <v>次</v>
      </c>
      <c r="P134" t="str">
        <f t="shared" si="45"/>
        <v>治疗费</v>
      </c>
    </row>
    <row r="135" spans="1:16">
      <c r="A135" t="str">
        <f>"临时固定修复费"</f>
        <v>临时固定修复费</v>
      </c>
      <c r="B135" t="str">
        <f>"013105170050000"</f>
        <v>013105170050000</v>
      </c>
      <c r="C135" t="str">
        <f t="shared" si="44"/>
        <v>治疗</v>
      </c>
      <c r="G135">
        <v>130</v>
      </c>
      <c r="K135" t="str">
        <f>"LSGDXFF"</f>
        <v>LSGDXFF</v>
      </c>
      <c r="L135" t="str">
        <f>"JJLPWTX"</f>
        <v>JJLPWTX</v>
      </c>
      <c r="M135">
        <v>130</v>
      </c>
      <c r="O135" t="str">
        <f t="shared" ref="O135:O138" si="46">"牙位"</f>
        <v>牙位</v>
      </c>
      <c r="P135" t="str">
        <f t="shared" si="45"/>
        <v>治疗费</v>
      </c>
    </row>
    <row r="136" spans="1:16">
      <c r="A136" t="str">
        <f>"修复体固定修复费"</f>
        <v>修复体固定修复费</v>
      </c>
      <c r="B136" t="str">
        <f>"013105170060000"</f>
        <v>013105170060000</v>
      </c>
      <c r="C136" t="str">
        <f t="shared" si="44"/>
        <v>治疗</v>
      </c>
      <c r="G136">
        <v>2400</v>
      </c>
      <c r="K136" t="str">
        <f>"XFTGDXFF"</f>
        <v>XFTGDXFF</v>
      </c>
      <c r="L136" t="str">
        <f>"WTWLPWTX"</f>
        <v>WTWLPWTX</v>
      </c>
      <c r="M136">
        <v>2400</v>
      </c>
      <c r="O136" t="str">
        <f t="shared" si="46"/>
        <v>牙位</v>
      </c>
      <c r="P136" t="str">
        <f t="shared" si="45"/>
        <v>治疗费</v>
      </c>
    </row>
    <row r="137" spans="1:16">
      <c r="A137" t="str">
        <f>"修复体固定修复费-即刻修复（加收）"</f>
        <v>修复体固定修复费-即刻修复（加收）</v>
      </c>
      <c r="B137" t="str">
        <f>"013105170060001"</f>
        <v>013105170060001</v>
      </c>
      <c r="C137" t="str">
        <f t="shared" si="44"/>
        <v>治疗</v>
      </c>
      <c r="G137">
        <v>240</v>
      </c>
      <c r="K137" t="str">
        <f>"XFTGDXFFJKXFJS"</f>
        <v>XFTGDXFFJKXFJS</v>
      </c>
      <c r="L137" t="str">
        <f>"WTWLPWTXVYWTLN"</f>
        <v>WTWLPWTXVYWTLN</v>
      </c>
      <c r="M137">
        <v>240</v>
      </c>
      <c r="O137" t="str">
        <f t="shared" si="46"/>
        <v>牙位</v>
      </c>
      <c r="P137" t="str">
        <f t="shared" si="45"/>
        <v>治疗费</v>
      </c>
    </row>
    <row r="138" spans="1:16">
      <c r="A138" t="str">
        <f>"修复体固定修复费-复杂修复体固定修复（加收）"</f>
        <v>修复体固定修复费-复杂修复体固定修复（加收）</v>
      </c>
      <c r="B138" t="str">
        <f>"013105170060011"</f>
        <v>013105170060011</v>
      </c>
      <c r="C138" t="str">
        <f t="shared" si="44"/>
        <v>治疗</v>
      </c>
      <c r="G138">
        <v>480</v>
      </c>
      <c r="K138" t="str">
        <f>"XFTGDXFFFZXFTGDX"</f>
        <v>XFTGDXFFFZXFTGDX</v>
      </c>
      <c r="L138" t="str">
        <f>"WTWLPWTXTVWTWLPW"</f>
        <v>WTWLPWTXTVWTWLPW</v>
      </c>
      <c r="M138">
        <v>480</v>
      </c>
      <c r="O138" t="str">
        <f t="shared" si="46"/>
        <v>牙位</v>
      </c>
      <c r="P138" t="str">
        <f t="shared" si="45"/>
        <v>治疗费</v>
      </c>
    </row>
    <row r="139" spans="1:16">
      <c r="A139" t="str">
        <f>"桩核修复费"</f>
        <v>桩核修复费</v>
      </c>
      <c r="B139" t="str">
        <f>"013105170070000"</f>
        <v>013105170070000</v>
      </c>
      <c r="C139" t="str">
        <f t="shared" si="44"/>
        <v>治疗</v>
      </c>
      <c r="G139">
        <v>366</v>
      </c>
      <c r="K139" t="str">
        <f>"ZHXFF"</f>
        <v>ZHXFF</v>
      </c>
      <c r="L139" t="str">
        <f>"SSWTX"</f>
        <v>SSWTX</v>
      </c>
      <c r="M139">
        <v>366</v>
      </c>
      <c r="O139" t="str">
        <f>"每根管"</f>
        <v>每根管</v>
      </c>
      <c r="P139" t="str">
        <f t="shared" si="45"/>
        <v>治疗费</v>
      </c>
    </row>
    <row r="140" spans="1:16">
      <c r="A140" t="str">
        <f>"桩核修复费-一体化纤维桩核（加收）"</f>
        <v>桩核修复费-一体化纤维桩核（加收）</v>
      </c>
      <c r="B140" t="str">
        <f>"013105170070001"</f>
        <v>013105170070001</v>
      </c>
      <c r="C140" t="str">
        <f t="shared" si="44"/>
        <v>治疗</v>
      </c>
      <c r="G140">
        <v>366</v>
      </c>
      <c r="K140" t="str">
        <f>"ZHXFFYTHXWZHJS"</f>
        <v>ZHXFFYTHXWZHJS</v>
      </c>
      <c r="L140" t="str">
        <f>"SSWTXGWWXXSSLN"</f>
        <v>SSWTXGWWXXSSLN</v>
      </c>
      <c r="M140">
        <v>366</v>
      </c>
      <c r="O140" t="str">
        <f>"每根管"</f>
        <v>每根管</v>
      </c>
      <c r="P140" t="str">
        <f t="shared" si="45"/>
        <v>治疗费</v>
      </c>
    </row>
    <row r="141" spans="1:16">
      <c r="A141" t="str">
        <f>"全口义齿修复费"</f>
        <v>全口义齿修复费</v>
      </c>
      <c r="B141" t="str">
        <f>"013105170090000"</f>
        <v>013105170090000</v>
      </c>
      <c r="C141" t="str">
        <f t="shared" si="44"/>
        <v>治疗</v>
      </c>
      <c r="G141">
        <v>5390</v>
      </c>
      <c r="K141" t="str">
        <f>"QKYCXFF"</f>
        <v>QKYCXFF</v>
      </c>
      <c r="L141" t="str">
        <f>"WKYHWTX"</f>
        <v>WKYHWTX</v>
      </c>
      <c r="M141">
        <v>5390</v>
      </c>
      <c r="O141" t="str">
        <f>"单颌"</f>
        <v>单颌</v>
      </c>
      <c r="P141" t="str">
        <f t="shared" si="45"/>
        <v>治疗费</v>
      </c>
    </row>
    <row r="142" spans="1:16">
      <c r="A142" t="str">
        <f>"全口义齿修复费-复杂全口义齿修复（加收）"</f>
        <v>全口义齿修复费-复杂全口义齿修复（加收）</v>
      </c>
      <c r="B142" t="str">
        <f>"013105170090001"</f>
        <v>013105170090001</v>
      </c>
      <c r="C142" t="str">
        <f t="shared" si="44"/>
        <v>治疗</v>
      </c>
      <c r="G142">
        <v>1617</v>
      </c>
      <c r="K142" t="str">
        <f>"QKYCXFFFZQKYCXFJ"</f>
        <v>QKYCXFFFZQKYCXFJ</v>
      </c>
      <c r="L142" t="str">
        <f>"WKYHWTXTVWKYHWTL"</f>
        <v>WKYHWTXTVWKYHWTL</v>
      </c>
      <c r="M142">
        <v>1617</v>
      </c>
      <c r="O142" t="str">
        <f>"单颌"</f>
        <v>单颌</v>
      </c>
      <c r="P142" t="str">
        <f t="shared" si="45"/>
        <v>治疗费</v>
      </c>
    </row>
    <row r="143" spans="1:16">
      <c r="A143" t="str">
        <f>"胶连可摘局部义齿修复费"</f>
        <v>胶连可摘局部义齿修复费</v>
      </c>
      <c r="B143" t="str">
        <f>"013105170100000"</f>
        <v>013105170100000</v>
      </c>
      <c r="C143" t="str">
        <f t="shared" si="44"/>
        <v>治疗</v>
      </c>
      <c r="G143">
        <v>201</v>
      </c>
      <c r="K143" t="str">
        <f>"JLKZJBYCXFF"</f>
        <v>JLKZJBYCXFF</v>
      </c>
      <c r="L143" t="str">
        <f>"ELSRNUYHWTX"</f>
        <v>ELSRNUYHWTX</v>
      </c>
      <c r="M143">
        <v>201</v>
      </c>
      <c r="O143" t="str">
        <f t="shared" ref="O143:O146" si="47">"牙位"</f>
        <v>牙位</v>
      </c>
      <c r="P143" t="str">
        <f t="shared" si="45"/>
        <v>治疗费</v>
      </c>
    </row>
    <row r="144" spans="1:16">
      <c r="A144" t="str">
        <f>"铸造支架可摘局部义齿修复费"</f>
        <v>铸造支架可摘局部义齿修复费</v>
      </c>
      <c r="B144" t="str">
        <f>"013105170110000"</f>
        <v>013105170110000</v>
      </c>
      <c r="C144" t="str">
        <f t="shared" si="44"/>
        <v>治疗</v>
      </c>
      <c r="G144">
        <v>600</v>
      </c>
      <c r="K144" t="str">
        <f>"ZZZJKZJBYCXFF"</f>
        <v>ZZZJKZJBYCXFF</v>
      </c>
      <c r="L144" t="str">
        <f>"QTFLSRNUYHWTX"</f>
        <v>QTFLSRNUYHWTX</v>
      </c>
      <c r="M144">
        <v>600</v>
      </c>
      <c r="O144" t="str">
        <f t="shared" si="47"/>
        <v>牙位</v>
      </c>
      <c r="P144" t="str">
        <f t="shared" si="45"/>
        <v>治疗费</v>
      </c>
    </row>
    <row r="145" spans="1:16">
      <c r="A145" t="str">
        <f>"修复体拆除费"</f>
        <v>修复体拆除费</v>
      </c>
      <c r="B145" t="str">
        <f>"013105190020000"</f>
        <v>013105190020000</v>
      </c>
      <c r="C145" t="str">
        <f t="shared" si="44"/>
        <v>治疗</v>
      </c>
      <c r="G145">
        <v>24</v>
      </c>
      <c r="K145" t="str">
        <f>"XFTCCF"</f>
        <v>XFTCCF</v>
      </c>
      <c r="L145" t="str">
        <f>"WTWRBX"</f>
        <v>WTWRBX</v>
      </c>
      <c r="M145">
        <v>24</v>
      </c>
      <c r="O145" t="str">
        <f>"修复体"</f>
        <v>修复体</v>
      </c>
      <c r="P145" t="str">
        <f t="shared" si="45"/>
        <v>治疗费</v>
      </c>
    </row>
    <row r="146" spans="1:16">
      <c r="A146" t="str">
        <f>"修复体维护费"</f>
        <v>修复体维护费</v>
      </c>
      <c r="B146" t="str">
        <f>"013105190030000"</f>
        <v>013105190030000</v>
      </c>
      <c r="C146" t="str">
        <f t="shared" si="44"/>
        <v>治疗</v>
      </c>
      <c r="G146">
        <v>80</v>
      </c>
      <c r="K146" t="str">
        <f>"XFTWHF"</f>
        <v>XFTWHF</v>
      </c>
      <c r="L146" t="str">
        <f>"WTWXRX"</f>
        <v>WTWXRX</v>
      </c>
      <c r="M146">
        <v>80</v>
      </c>
      <c r="O146" t="str">
        <f t="shared" si="47"/>
        <v>牙位</v>
      </c>
      <c r="P146" t="str">
        <f t="shared" si="45"/>
        <v>治疗费</v>
      </c>
    </row>
    <row r="147" spans="1:16">
      <c r="A147" t="str">
        <f>"雾化吸入治疗费"</f>
        <v>雾化吸入治疗费</v>
      </c>
      <c r="B147" t="str">
        <f>"013106000030000"</f>
        <v>013106000030000</v>
      </c>
      <c r="C147" t="str">
        <f t="shared" si="44"/>
        <v>治疗</v>
      </c>
      <c r="G147">
        <v>26</v>
      </c>
      <c r="I147" t="str">
        <f t="shared" ref="I147:I151" si="48">"次"</f>
        <v>次</v>
      </c>
      <c r="K147" t="str">
        <f>"WHXRZLF"</f>
        <v>WHXRZLF</v>
      </c>
      <c r="L147" t="str">
        <f>"FWKTIUX"</f>
        <v>FWKTIUX</v>
      </c>
      <c r="M147">
        <v>26</v>
      </c>
      <c r="O147" t="str">
        <f t="shared" ref="O147:O151" si="49">"次"</f>
        <v>次</v>
      </c>
      <c r="P147" t="str">
        <f t="shared" si="45"/>
        <v>治疗费</v>
      </c>
    </row>
    <row r="148" spans="1:16">
      <c r="A148" t="str">
        <f>"雾化吸入治疗费(第二次及后续)"</f>
        <v>雾化吸入治疗费(第二次及后续)</v>
      </c>
      <c r="B148" t="str">
        <f>"013106000030000-2"</f>
        <v>013106000030000-2</v>
      </c>
      <c r="C148" t="str">
        <f t="shared" si="44"/>
        <v>治疗</v>
      </c>
      <c r="G148">
        <v>6.5</v>
      </c>
      <c r="I148" t="str">
        <f t="shared" si="48"/>
        <v>次</v>
      </c>
      <c r="K148" t="str">
        <f>"WHXRZLFDECJHX"</f>
        <v>WHXRZLFDECJHX</v>
      </c>
      <c r="L148" t="str">
        <f>"FWKTIUXTFUERX"</f>
        <v>FWKTIUXTFUERX</v>
      </c>
      <c r="M148">
        <v>6.5</v>
      </c>
      <c r="O148" t="str">
        <f t="shared" si="49"/>
        <v>次</v>
      </c>
      <c r="P148" t="str">
        <f t="shared" si="45"/>
        <v>治疗费</v>
      </c>
    </row>
    <row r="149" spans="1:16">
      <c r="A149" t="str">
        <f>"妇科常规治疗费"</f>
        <v>妇科常规治疗费</v>
      </c>
      <c r="B149" t="str">
        <f>"013112010110000"</f>
        <v>013112010110000</v>
      </c>
      <c r="C149" t="str">
        <f t="shared" si="44"/>
        <v>治疗</v>
      </c>
      <c r="G149">
        <v>44</v>
      </c>
      <c r="I149">
        <v>1</v>
      </c>
      <c r="K149" t="str">
        <f>"FKCGZLF"</f>
        <v>FKCGZLF</v>
      </c>
      <c r="L149" t="str">
        <f>"VTIFIUX"</f>
        <v>VTIFIUX</v>
      </c>
      <c r="M149">
        <v>44</v>
      </c>
      <c r="O149" t="str">
        <f>"每部位"</f>
        <v>每部位</v>
      </c>
      <c r="P149" t="str">
        <f t="shared" si="45"/>
        <v>治疗费</v>
      </c>
    </row>
    <row r="150" spans="1:16">
      <c r="A150" t="str">
        <f>"阴道异物取出费"</f>
        <v>阴道异物取出费</v>
      </c>
      <c r="B150" t="str">
        <f>"013112010130000"</f>
        <v>013112010130000</v>
      </c>
      <c r="C150" t="str">
        <f t="shared" si="44"/>
        <v>治疗</v>
      </c>
      <c r="G150">
        <v>225</v>
      </c>
      <c r="I150">
        <v>1</v>
      </c>
      <c r="K150" t="str">
        <f>"YDYWQCF"</f>
        <v>YDYWQCF</v>
      </c>
      <c r="L150" t="str">
        <f>"BUNTBBX"</f>
        <v>BUNTBBX</v>
      </c>
      <c r="M150">
        <v>225</v>
      </c>
      <c r="O150" t="str">
        <f>"每次"</f>
        <v>每次</v>
      </c>
      <c r="P150" t="str">
        <f t="shared" si="45"/>
        <v>治疗费</v>
      </c>
    </row>
    <row r="151" spans="1:16">
      <c r="A151" t="str">
        <f>"产前常规检查"</f>
        <v>产前常规检查</v>
      </c>
      <c r="B151" t="str">
        <f>"013112020010000"</f>
        <v>013112020010000</v>
      </c>
      <c r="C151" t="str">
        <f>"检查"</f>
        <v>检查</v>
      </c>
      <c r="G151">
        <v>17</v>
      </c>
      <c r="I151" t="str">
        <f t="shared" si="48"/>
        <v>次</v>
      </c>
      <c r="K151" t="str">
        <f>"CQCGJC"</f>
        <v>CQCGJC</v>
      </c>
      <c r="L151" t="str">
        <f>"UUIFSS"</f>
        <v>UUIFSS</v>
      </c>
      <c r="M151">
        <v>17</v>
      </c>
      <c r="O151" t="str">
        <f t="shared" si="49"/>
        <v>次</v>
      </c>
      <c r="P151" t="str">
        <f>"检查费"</f>
        <v>检查费</v>
      </c>
    </row>
    <row r="152" spans="1:16">
      <c r="A152" t="str">
        <f>"皮损治疗费（常规）"</f>
        <v>皮损治疗费（常规）</v>
      </c>
      <c r="B152" t="str">
        <f>"013114000010000"</f>
        <v>013114000010000</v>
      </c>
      <c r="C152" t="str">
        <f t="shared" ref="C152:C159" si="50">"治疗"</f>
        <v>治疗</v>
      </c>
      <c r="G152">
        <v>8</v>
      </c>
      <c r="K152" t="str">
        <f>"PSZLFCG"</f>
        <v>PSZLFCG</v>
      </c>
      <c r="L152" t="str">
        <f>"HRIUXIF"</f>
        <v>HRIUXIF</v>
      </c>
      <c r="M152">
        <v>8</v>
      </c>
      <c r="O152" t="str">
        <f>"每个 皮损"</f>
        <v>每个 皮损</v>
      </c>
      <c r="P152" t="str">
        <f t="shared" ref="P152:P159" si="51">"治疗费"</f>
        <v>治疗费</v>
      </c>
    </row>
    <row r="153" spans="1:16">
      <c r="A153" t="str">
        <f>"皮损治疗费（特殊)"</f>
        <v>皮损治疗费（特殊)</v>
      </c>
      <c r="B153" t="str">
        <f>"013114000020000"</f>
        <v>013114000020000</v>
      </c>
      <c r="C153" t="str">
        <f t="shared" si="50"/>
        <v>治疗</v>
      </c>
      <c r="G153">
        <v>22</v>
      </c>
      <c r="K153" t="str">
        <f>"PSZLFTS"</f>
        <v>PSZLFTS</v>
      </c>
      <c r="L153" t="str">
        <f>"HRIUXTG"</f>
        <v>HRIUXTG</v>
      </c>
      <c r="M153">
        <v>22</v>
      </c>
      <c r="O153" t="str">
        <f>"每个 皮损"</f>
        <v>每个 皮损</v>
      </c>
      <c r="P153" t="str">
        <f t="shared" si="51"/>
        <v>治疗费</v>
      </c>
    </row>
    <row r="154" spans="1:16">
      <c r="A154" t="str">
        <f>"头皮微针治疗"</f>
        <v>头皮微针治疗</v>
      </c>
      <c r="B154" t="str">
        <f>"013114000030000"</f>
        <v>013114000030000</v>
      </c>
      <c r="C154" t="str">
        <f t="shared" si="50"/>
        <v>治疗</v>
      </c>
      <c r="G154">
        <v>120</v>
      </c>
      <c r="K154" t="str">
        <f>"TPWZZL"</f>
        <v>TPWZZL</v>
      </c>
      <c r="L154" t="str">
        <f>"UHTQIU"</f>
        <v>UHTQIU</v>
      </c>
      <c r="M154">
        <v>120</v>
      </c>
      <c r="O154" t="str">
        <f t="shared" ref="O154:O157" si="52">"次"</f>
        <v>次</v>
      </c>
      <c r="P154" t="str">
        <f t="shared" si="51"/>
        <v>治疗费</v>
      </c>
    </row>
    <row r="155" spans="1:16">
      <c r="A155" t="str">
        <f>"化学换肤费"</f>
        <v>化学换肤费</v>
      </c>
      <c r="B155" t="str">
        <f>"013114000050000"</f>
        <v>013114000050000</v>
      </c>
      <c r="C155" t="str">
        <f t="shared" si="50"/>
        <v>治疗</v>
      </c>
      <c r="G155">
        <v>36</v>
      </c>
      <c r="I155" t="str">
        <f t="shared" ref="I155:I163" si="53">"次"</f>
        <v>次</v>
      </c>
      <c r="K155" t="str">
        <f>"HXHFF"</f>
        <v>HXHFF</v>
      </c>
      <c r="L155" t="str">
        <f>"WIREX"</f>
        <v>WIREX</v>
      </c>
      <c r="M155">
        <v>36</v>
      </c>
      <c r="O155" t="str">
        <f t="shared" si="52"/>
        <v>次</v>
      </c>
      <c r="P155" t="str">
        <f t="shared" si="51"/>
        <v>治疗费</v>
      </c>
    </row>
    <row r="156" spans="1:16">
      <c r="A156" t="str">
        <f>"脱毛治疗费"</f>
        <v>脱毛治疗费</v>
      </c>
      <c r="B156" t="str">
        <f>"013114000060000"</f>
        <v>013114000060000</v>
      </c>
      <c r="C156" t="str">
        <f t="shared" si="50"/>
        <v>治疗</v>
      </c>
      <c r="G156">
        <v>35</v>
      </c>
      <c r="I156" t="str">
        <f>"cm2"</f>
        <v>cm2</v>
      </c>
      <c r="K156" t="str">
        <f>"TMZLF"</f>
        <v>TMZLF</v>
      </c>
      <c r="L156" t="str">
        <f>"ETIUX"</f>
        <v>ETIUX</v>
      </c>
      <c r="M156">
        <v>35</v>
      </c>
      <c r="O156" t="str">
        <f>"cm2"</f>
        <v>cm2</v>
      </c>
      <c r="P156" t="str">
        <f t="shared" si="51"/>
        <v>治疗费</v>
      </c>
    </row>
    <row r="157" spans="1:16">
      <c r="A157" t="str">
        <f>"药物熏蒸治疗"</f>
        <v>药物熏蒸治疗</v>
      </c>
      <c r="B157" t="str">
        <f>"013114000070000"</f>
        <v>013114000070000</v>
      </c>
      <c r="C157" t="str">
        <f t="shared" si="50"/>
        <v>治疗</v>
      </c>
      <c r="G157">
        <v>48</v>
      </c>
      <c r="K157" t="str">
        <f>"YWXZZL"</f>
        <v>YWXZZL</v>
      </c>
      <c r="L157" t="str">
        <f>"ATTAIU"</f>
        <v>ATTAIU</v>
      </c>
      <c r="M157">
        <v>48</v>
      </c>
      <c r="O157" t="str">
        <f t="shared" si="52"/>
        <v>次</v>
      </c>
      <c r="P157" t="str">
        <f t="shared" si="51"/>
        <v>治疗费</v>
      </c>
    </row>
    <row r="158" spans="1:16">
      <c r="A158" t="str">
        <f>"指（趾）甲治疗"</f>
        <v>指（趾）甲治疗</v>
      </c>
      <c r="B158" t="str">
        <f>"013114000080000"</f>
        <v>013114000080000</v>
      </c>
      <c r="C158" t="str">
        <f t="shared" si="50"/>
        <v>治疗</v>
      </c>
      <c r="G158">
        <v>22</v>
      </c>
      <c r="I158" t="str">
        <f t="shared" si="53"/>
        <v>次</v>
      </c>
      <c r="K158" t="str">
        <f>"ZZJZL"</f>
        <v>ZZJZL</v>
      </c>
      <c r="L158" t="str">
        <f>"RKLIU"</f>
        <v>RKLIU</v>
      </c>
      <c r="M158">
        <v>28</v>
      </c>
      <c r="O158" t="str">
        <f>"每指"</f>
        <v>每指</v>
      </c>
      <c r="P158" t="str">
        <f t="shared" si="51"/>
        <v>治疗费</v>
      </c>
    </row>
    <row r="159" spans="1:16">
      <c r="A159" t="str">
        <f>"指（趾）甲治疗-拔甲（加收）"</f>
        <v>指（趾）甲治疗-拔甲（加收）</v>
      </c>
      <c r="B159" t="str">
        <f>"013114000080001"</f>
        <v>013114000080001</v>
      </c>
      <c r="C159" t="str">
        <f t="shared" si="50"/>
        <v>治疗</v>
      </c>
      <c r="G159">
        <v>44</v>
      </c>
      <c r="I159" t="str">
        <f t="shared" si="53"/>
        <v>次</v>
      </c>
      <c r="K159" t="str">
        <f>"ZZJZLBJJS"</f>
        <v>ZZJZLBJJS</v>
      </c>
      <c r="L159" t="str">
        <f>"RKLIURLLN"</f>
        <v>RKLIURLLN</v>
      </c>
      <c r="M159">
        <v>56</v>
      </c>
      <c r="O159" t="str">
        <f>"每指"</f>
        <v>每指</v>
      </c>
      <c r="P159" t="str">
        <f t="shared" si="51"/>
        <v>治疗费</v>
      </c>
    </row>
    <row r="160" spans="1:16">
      <c r="A160" t="str">
        <f>"局部麻醉费（局部浸润麻醉）"</f>
        <v>局部麻醉费（局部浸润麻醉）</v>
      </c>
      <c r="B160" t="str">
        <f>"013301000010000"</f>
        <v>013301000010000</v>
      </c>
      <c r="C160" t="str">
        <f t="shared" ref="C160:C163" si="54">"麻醉"</f>
        <v>麻醉</v>
      </c>
      <c r="G160">
        <v>35</v>
      </c>
      <c r="I160" t="str">
        <f t="shared" si="53"/>
        <v>次</v>
      </c>
      <c r="K160" t="str">
        <f>"JBMZFJBJRMZ"</f>
        <v>JBMZFJBJRMZ</v>
      </c>
      <c r="L160" t="str">
        <f>"NUYSXNUIIYS"</f>
        <v>NUYSXNUIIYS</v>
      </c>
      <c r="M160">
        <v>35</v>
      </c>
      <c r="O160" t="str">
        <f t="shared" ref="O160:O163" si="55">"次"</f>
        <v>次</v>
      </c>
      <c r="P160" t="str">
        <f t="shared" ref="P160:P163" si="56">"麻醉费"</f>
        <v>麻醉费</v>
      </c>
    </row>
    <row r="161" spans="1:16">
      <c r="A161" t="str">
        <f>"局部麻醉费（神经阻滞麻醉）"</f>
        <v>局部麻醉费（神经阻滞麻醉）</v>
      </c>
      <c r="B161" t="str">
        <f>"013301000030000"</f>
        <v>013301000030000</v>
      </c>
      <c r="C161" t="str">
        <f t="shared" si="54"/>
        <v>麻醉</v>
      </c>
      <c r="G161">
        <v>36</v>
      </c>
      <c r="I161" t="str">
        <f t="shared" si="53"/>
        <v>次</v>
      </c>
      <c r="K161" t="str">
        <f>"JBMZFSJZZMZ"</f>
        <v>JBMZFSJZZMZ</v>
      </c>
      <c r="L161" t="str">
        <f>"NUYSXPXBIYS"</f>
        <v>NUYSXPXBIYS</v>
      </c>
      <c r="M161">
        <v>293</v>
      </c>
      <c r="O161" t="str">
        <f t="shared" si="55"/>
        <v>次</v>
      </c>
      <c r="P161" t="str">
        <f t="shared" si="56"/>
        <v>麻醉费</v>
      </c>
    </row>
    <row r="162" spans="1:16">
      <c r="A162" t="str">
        <f>"局部麻醉费（神经阻滞麻醉）-儿童（加收）"</f>
        <v>局部麻醉费（神经阻滞麻醉）-儿童（加收）</v>
      </c>
      <c r="B162" t="str">
        <f>"013301000030001"</f>
        <v>013301000030001</v>
      </c>
      <c r="C162" t="str">
        <f t="shared" si="54"/>
        <v>麻醉</v>
      </c>
      <c r="G162">
        <v>10.8</v>
      </c>
      <c r="I162" t="str">
        <f t="shared" si="53"/>
        <v>次</v>
      </c>
      <c r="K162" t="str">
        <f>"JBMZFSJZZMZETJS"</f>
        <v>JBMZFSJZZMZETJS</v>
      </c>
      <c r="L162" t="str">
        <f>"NUYSXPXBIYSQULN"</f>
        <v>NUYSXPXBIYSQULN</v>
      </c>
      <c r="M162">
        <v>87.9</v>
      </c>
      <c r="O162" t="str">
        <f t="shared" si="55"/>
        <v>次</v>
      </c>
      <c r="P162" t="str">
        <f t="shared" si="56"/>
        <v>麻醉费</v>
      </c>
    </row>
    <row r="163" spans="1:16">
      <c r="A163" t="str">
        <f>"局部麻醉费（神经阻滞麻醉）-80周岁及以上患者（加收）"</f>
        <v>局部麻醉费（神经阻滞麻醉）-80周岁及以上患者（加收）</v>
      </c>
      <c r="B163" t="str">
        <f>"013301000030002"</f>
        <v>013301000030002</v>
      </c>
      <c r="C163" t="str">
        <f t="shared" si="54"/>
        <v>麻醉</v>
      </c>
      <c r="G163">
        <v>10.8</v>
      </c>
      <c r="I163" t="str">
        <f t="shared" si="53"/>
        <v>次</v>
      </c>
      <c r="K163" t="str">
        <f>"JBMZFSJZZMZ80ZSJ"</f>
        <v>JBMZFSJZZMZ80ZSJ</v>
      </c>
      <c r="L163" t="str">
        <f>"NUYSXPXBIYS80MME"</f>
        <v>NUYSXPXBIYS80MME</v>
      </c>
      <c r="M163">
        <v>87.9</v>
      </c>
      <c r="O163" t="str">
        <f t="shared" si="55"/>
        <v>次</v>
      </c>
      <c r="P163" t="str">
        <f t="shared" si="56"/>
        <v>麻醉费</v>
      </c>
    </row>
    <row r="164" spans="1:16">
      <c r="A164" t="str">
        <f>"牙拔除费"</f>
        <v>牙拔除费</v>
      </c>
      <c r="B164" t="str">
        <f>"013306020050000"</f>
        <v>013306020050000</v>
      </c>
      <c r="C164" t="str">
        <f t="shared" ref="C164:C188" si="57">"手术"</f>
        <v>手术</v>
      </c>
      <c r="G164">
        <v>94</v>
      </c>
      <c r="I164" t="str">
        <f t="shared" ref="I164:I180" si="58">"每牙"</f>
        <v>每牙</v>
      </c>
      <c r="K164" t="str">
        <f>"YBCF"</f>
        <v>YBCF</v>
      </c>
      <c r="L164" t="str">
        <f>"ARBX"</f>
        <v>ARBX</v>
      </c>
      <c r="M164">
        <v>104</v>
      </c>
      <c r="O164" t="str">
        <f t="shared" ref="O164:O181" si="59">"每牙"</f>
        <v>每牙</v>
      </c>
      <c r="P164" t="str">
        <f t="shared" ref="P164:P179" si="60">"手术费"</f>
        <v>手术费</v>
      </c>
    </row>
    <row r="165" spans="1:16">
      <c r="A165" t="str">
        <f>"乳牙拔除费"</f>
        <v>乳牙拔除费</v>
      </c>
      <c r="B165" t="str">
        <f>"013306020050000-1"</f>
        <v>013306020050000-1</v>
      </c>
      <c r="C165" t="str">
        <f t="shared" si="57"/>
        <v>手术</v>
      </c>
      <c r="G165">
        <v>11</v>
      </c>
      <c r="K165" t="str">
        <f>"RYBCF"</f>
        <v>RYBCF</v>
      </c>
      <c r="L165" t="str">
        <f>"EARBX"</f>
        <v>EARBX</v>
      </c>
      <c r="M165">
        <v>11</v>
      </c>
      <c r="O165" t="str">
        <f t="shared" si="59"/>
        <v>每牙</v>
      </c>
      <c r="P165" t="str">
        <f t="shared" si="60"/>
        <v>手术费</v>
      </c>
    </row>
    <row r="166" spans="1:16">
      <c r="A166" t="str">
        <f>"牙拔除费-儿童（加收）"</f>
        <v>牙拔除费-儿童（加收）</v>
      </c>
      <c r="B166" t="str">
        <f>"013306020050001"</f>
        <v>013306020050001</v>
      </c>
      <c r="C166" t="str">
        <f t="shared" si="57"/>
        <v>手术</v>
      </c>
      <c r="G166">
        <v>28.2</v>
      </c>
      <c r="K166" t="str">
        <f>"YBCFETJS"</f>
        <v>YBCFETJS</v>
      </c>
      <c r="L166" t="str">
        <f>"ARBXQULN"</f>
        <v>ARBXQULN</v>
      </c>
      <c r="M166">
        <v>28.2</v>
      </c>
      <c r="O166" t="str">
        <f t="shared" si="59"/>
        <v>每牙</v>
      </c>
      <c r="P166" t="str">
        <f t="shared" si="60"/>
        <v>手术费</v>
      </c>
    </row>
    <row r="167" spans="1:16">
      <c r="A167" t="str">
        <f>"牙拔除费-复杂牙拔除（加收）"</f>
        <v>牙拔除费-复杂牙拔除（加收）</v>
      </c>
      <c r="B167" t="str">
        <f>"013306020050011"</f>
        <v>013306020050011</v>
      </c>
      <c r="C167" t="str">
        <f t="shared" si="57"/>
        <v>手术</v>
      </c>
      <c r="G167">
        <v>107</v>
      </c>
      <c r="I167" t="str">
        <f t="shared" si="58"/>
        <v>每牙</v>
      </c>
      <c r="K167" t="str">
        <f>"YBCFFZYBCJS"</f>
        <v>YBCFFZYBCJS</v>
      </c>
      <c r="L167" t="str">
        <f>"ARBXTVARBLN"</f>
        <v>ARBXTVARBLN</v>
      </c>
      <c r="M167">
        <v>119</v>
      </c>
      <c r="O167" t="str">
        <f t="shared" si="59"/>
        <v>每牙</v>
      </c>
      <c r="P167" t="str">
        <f t="shared" si="60"/>
        <v>手术费</v>
      </c>
    </row>
    <row r="168" spans="1:16">
      <c r="A168" t="str">
        <f>"阻生牙拔除费"</f>
        <v>阻生牙拔除费</v>
      </c>
      <c r="B168" t="str">
        <f>"013306020060000"</f>
        <v>013306020060000</v>
      </c>
      <c r="C168" t="str">
        <f t="shared" si="57"/>
        <v>手术</v>
      </c>
      <c r="G168">
        <v>207</v>
      </c>
      <c r="I168" t="str">
        <f t="shared" si="58"/>
        <v>每牙</v>
      </c>
      <c r="K168" t="str">
        <f>"ZSYBCF"</f>
        <v>ZSYBCF</v>
      </c>
      <c r="L168" t="str">
        <f>"BTARBX"</f>
        <v>BTARBX</v>
      </c>
      <c r="M168">
        <v>230</v>
      </c>
      <c r="O168" t="str">
        <f t="shared" si="59"/>
        <v>每牙</v>
      </c>
      <c r="P168" t="str">
        <f t="shared" si="60"/>
        <v>手术费</v>
      </c>
    </row>
    <row r="169" spans="1:16">
      <c r="A169" t="str">
        <f>"阻生牙拔除费-儿童（加收）"</f>
        <v>阻生牙拔除费-儿童（加收）</v>
      </c>
      <c r="B169" t="str">
        <f>"013306020060001"</f>
        <v>013306020060001</v>
      </c>
      <c r="C169" t="str">
        <f t="shared" si="57"/>
        <v>手术</v>
      </c>
      <c r="G169">
        <v>62.1</v>
      </c>
      <c r="I169" t="str">
        <f t="shared" si="58"/>
        <v>每牙</v>
      </c>
      <c r="K169" t="str">
        <f>"ZSYBCFETJS"</f>
        <v>ZSYBCFETJS</v>
      </c>
      <c r="L169" t="str">
        <f>"BTARBXQULN"</f>
        <v>BTARBXQULN</v>
      </c>
      <c r="M169">
        <v>69</v>
      </c>
      <c r="O169" t="str">
        <f t="shared" si="59"/>
        <v>每牙</v>
      </c>
      <c r="P169" t="str">
        <f t="shared" si="60"/>
        <v>手术费</v>
      </c>
    </row>
    <row r="170" spans="1:16">
      <c r="A170" t="str">
        <f>"阻生牙拔除费-复杂阻生牙拔除（加收）"</f>
        <v>阻生牙拔除费-复杂阻生牙拔除（加收）</v>
      </c>
      <c r="B170" t="str">
        <f>"013306020060011"</f>
        <v>013306020060011</v>
      </c>
      <c r="C170" t="str">
        <f t="shared" si="57"/>
        <v>手术</v>
      </c>
      <c r="G170">
        <v>207</v>
      </c>
      <c r="I170" t="str">
        <f t="shared" si="58"/>
        <v>每牙</v>
      </c>
      <c r="K170" t="str">
        <f>"ZSYBCFFZZSYBCJS"</f>
        <v>ZSYBCFFZZSYBCJS</v>
      </c>
      <c r="L170" t="str">
        <f>"BTARBXTVBTARBLN"</f>
        <v>BTARBXTVBTARBLN</v>
      </c>
      <c r="M170">
        <v>230</v>
      </c>
      <c r="O170" t="str">
        <f t="shared" si="59"/>
        <v>每牙</v>
      </c>
      <c r="P170" t="str">
        <f t="shared" si="60"/>
        <v>手术费</v>
      </c>
    </row>
    <row r="171" spans="1:16">
      <c r="A171" t="str">
        <f>"阻生牙拔除费-多生牙拔除费（扩展）"</f>
        <v>阻生牙拔除费-多生牙拔除费（扩展）</v>
      </c>
      <c r="B171" t="str">
        <f>"013306020060100"</f>
        <v>013306020060100</v>
      </c>
      <c r="C171" t="str">
        <f t="shared" si="57"/>
        <v>手术</v>
      </c>
      <c r="G171">
        <v>207</v>
      </c>
      <c r="I171" t="str">
        <f t="shared" si="58"/>
        <v>每牙</v>
      </c>
      <c r="K171" t="str">
        <f>"ZSYBCFDSYBCFKZ"</f>
        <v>ZSYBCFDSYBCFKZ</v>
      </c>
      <c r="L171" t="str">
        <f>"BTARBXQTARBXRN"</f>
        <v>BTARBXQTARBXRN</v>
      </c>
      <c r="M171">
        <v>230</v>
      </c>
      <c r="O171" t="str">
        <f t="shared" si="59"/>
        <v>每牙</v>
      </c>
      <c r="P171" t="str">
        <f t="shared" si="60"/>
        <v>手术费</v>
      </c>
    </row>
    <row r="172" spans="1:16">
      <c r="A172" t="str">
        <f>"阻生牙开窗助萌费"</f>
        <v>阻生牙开窗助萌费</v>
      </c>
      <c r="B172" t="str">
        <f>"013306020070000"</f>
        <v>013306020070000</v>
      </c>
      <c r="C172" t="str">
        <f t="shared" si="57"/>
        <v>手术</v>
      </c>
      <c r="G172">
        <v>39</v>
      </c>
      <c r="I172" t="str">
        <f t="shared" si="58"/>
        <v>每牙</v>
      </c>
      <c r="K172" t="str">
        <f>"ZSYKCZMF"</f>
        <v>ZSYKCZMF</v>
      </c>
      <c r="L172" t="str">
        <f>"BTAGPEAX"</f>
        <v>BTAGPEAX</v>
      </c>
      <c r="M172">
        <v>43</v>
      </c>
      <c r="O172" t="str">
        <f t="shared" si="59"/>
        <v>每牙</v>
      </c>
      <c r="P172" t="str">
        <f t="shared" si="60"/>
        <v>手术费</v>
      </c>
    </row>
    <row r="173" spans="1:16">
      <c r="A173" t="str">
        <f>"阻生牙开窗助萌费-儿童（加收）"</f>
        <v>阻生牙开窗助萌费-儿童（加收）</v>
      </c>
      <c r="B173" t="str">
        <f>"013306020070001"</f>
        <v>013306020070001</v>
      </c>
      <c r="C173" t="str">
        <f t="shared" si="57"/>
        <v>手术</v>
      </c>
      <c r="G173">
        <v>11.7</v>
      </c>
      <c r="I173" t="str">
        <f t="shared" si="58"/>
        <v>每牙</v>
      </c>
      <c r="K173" t="str">
        <f>"ZSYKCZMFETJS"</f>
        <v>ZSYKCZMFETJS</v>
      </c>
      <c r="L173" t="str">
        <f>"BTAGPEAXQULN"</f>
        <v>BTAGPEAXQULN</v>
      </c>
      <c r="M173">
        <v>12.9</v>
      </c>
      <c r="O173" t="str">
        <f t="shared" si="59"/>
        <v>每牙</v>
      </c>
      <c r="P173" t="str">
        <f t="shared" si="60"/>
        <v>手术费</v>
      </c>
    </row>
    <row r="174" spans="1:16">
      <c r="A174" t="str">
        <f>"阻生牙开窗助萌费-骨阻生开窗助萌（加收）"</f>
        <v>阻生牙开窗助萌费-骨阻生开窗助萌（加收）</v>
      </c>
      <c r="B174" t="str">
        <f>"013306020070011"</f>
        <v>013306020070011</v>
      </c>
      <c r="C174" t="str">
        <f t="shared" si="57"/>
        <v>手术</v>
      </c>
      <c r="G174">
        <v>70</v>
      </c>
      <c r="I174" t="str">
        <f t="shared" si="58"/>
        <v>每牙</v>
      </c>
      <c r="K174" t="str">
        <f>"ZSYKCZMFGZSKCZMJ"</f>
        <v>ZSYKCZMFGZSKCZMJ</v>
      </c>
      <c r="L174" t="str">
        <f>"BTAGPEAXMBTGPEAL"</f>
        <v>BTAGPEAXMBTGPEAL</v>
      </c>
      <c r="M174">
        <v>78</v>
      </c>
      <c r="O174" t="str">
        <f t="shared" si="59"/>
        <v>每牙</v>
      </c>
      <c r="P174" t="str">
        <f t="shared" si="60"/>
        <v>手术费</v>
      </c>
    </row>
    <row r="175" spans="1:16">
      <c r="A175" t="str">
        <f>"阻生牙牙冠切除费"</f>
        <v>阻生牙牙冠切除费</v>
      </c>
      <c r="B175" t="str">
        <f>"013306020080000"</f>
        <v>013306020080000</v>
      </c>
      <c r="C175" t="str">
        <f t="shared" si="57"/>
        <v>手术</v>
      </c>
      <c r="G175">
        <v>324</v>
      </c>
      <c r="I175" t="str">
        <f t="shared" si="58"/>
        <v>每牙</v>
      </c>
      <c r="K175" t="str">
        <f>"ZSYYGQCF"</f>
        <v>ZSYYGQCF</v>
      </c>
      <c r="L175" t="str">
        <f>"BTAAPABX"</f>
        <v>BTAAPABX</v>
      </c>
      <c r="M175">
        <v>360</v>
      </c>
      <c r="O175" t="str">
        <f t="shared" si="59"/>
        <v>每牙</v>
      </c>
      <c r="P175" t="str">
        <f t="shared" si="60"/>
        <v>手术费</v>
      </c>
    </row>
    <row r="176" spans="1:16">
      <c r="A176" t="str">
        <f>"阻生牙牙冠切除费-儿童（加收）"</f>
        <v>阻生牙牙冠切除费-儿童（加收）</v>
      </c>
      <c r="B176" t="str">
        <f>"013306020080001"</f>
        <v>013306020080001</v>
      </c>
      <c r="C176" t="str">
        <f t="shared" si="57"/>
        <v>手术</v>
      </c>
      <c r="G176">
        <v>97.2</v>
      </c>
      <c r="I176" t="str">
        <f t="shared" si="58"/>
        <v>每牙</v>
      </c>
      <c r="K176" t="str">
        <f>"ZSYYGQCFETJS"</f>
        <v>ZSYYGQCFETJS</v>
      </c>
      <c r="L176" t="str">
        <f>"BTAAPABXQULN"</f>
        <v>BTAAPABXQULN</v>
      </c>
      <c r="M176">
        <v>108</v>
      </c>
      <c r="O176" t="str">
        <f t="shared" si="59"/>
        <v>每牙</v>
      </c>
      <c r="P176" t="str">
        <f t="shared" si="60"/>
        <v>手术费</v>
      </c>
    </row>
    <row r="177" spans="1:16">
      <c r="A177" t="str">
        <f>"拔牙创搔刮费"</f>
        <v>拔牙创搔刮费</v>
      </c>
      <c r="B177" t="str">
        <f>"013306020090000"</f>
        <v>013306020090000</v>
      </c>
      <c r="C177" t="str">
        <f t="shared" si="57"/>
        <v>手术</v>
      </c>
      <c r="G177">
        <v>140</v>
      </c>
      <c r="I177" t="str">
        <f t="shared" si="58"/>
        <v>每牙</v>
      </c>
      <c r="K177" t="str">
        <f>"BYCSGF"</f>
        <v>BYCSGF</v>
      </c>
      <c r="L177" t="str">
        <f>"RAWRTX"</f>
        <v>RAWRTX</v>
      </c>
      <c r="M177">
        <v>156</v>
      </c>
      <c r="O177" t="str">
        <f t="shared" si="59"/>
        <v>每牙</v>
      </c>
      <c r="P177" t="str">
        <f t="shared" si="60"/>
        <v>手术费</v>
      </c>
    </row>
    <row r="178" spans="1:16">
      <c r="A178" t="str">
        <f>"拔牙创搔刮费-儿童（加收）"</f>
        <v>拔牙创搔刮费-儿童（加收）</v>
      </c>
      <c r="B178" t="str">
        <f>"013306020090001"</f>
        <v>013306020090001</v>
      </c>
      <c r="C178" t="str">
        <f t="shared" si="57"/>
        <v>手术</v>
      </c>
      <c r="G178">
        <v>42</v>
      </c>
      <c r="I178" t="str">
        <f t="shared" si="58"/>
        <v>每牙</v>
      </c>
      <c r="K178" t="str">
        <f>"BYCSGFETJS"</f>
        <v>BYCSGFETJS</v>
      </c>
      <c r="L178" t="str">
        <f>"RAWRTXQULN"</f>
        <v>RAWRTXQULN</v>
      </c>
      <c r="M178">
        <v>46.8</v>
      </c>
      <c r="O178" t="str">
        <f t="shared" si="59"/>
        <v>每牙</v>
      </c>
      <c r="P178" t="str">
        <f t="shared" si="60"/>
        <v>手术费</v>
      </c>
    </row>
    <row r="179" spans="1:16">
      <c r="A179" t="str">
        <f>"阻生牙龈瓣修整费"</f>
        <v>阻生牙龈瓣修整费</v>
      </c>
      <c r="B179" t="str">
        <f>"013306020100000"</f>
        <v>013306020100000</v>
      </c>
      <c r="C179" t="str">
        <f t="shared" si="57"/>
        <v>手术</v>
      </c>
      <c r="G179">
        <v>70</v>
      </c>
      <c r="I179" t="str">
        <f t="shared" si="58"/>
        <v>每牙</v>
      </c>
      <c r="K179" t="str">
        <f>"ZSYYBXZF"</f>
        <v>ZSYYBXZF</v>
      </c>
      <c r="L179" t="str">
        <f>"BTAHUWGX"</f>
        <v>BTAHUWGX</v>
      </c>
      <c r="M179">
        <v>78</v>
      </c>
      <c r="O179" t="str">
        <f t="shared" si="59"/>
        <v>每牙</v>
      </c>
      <c r="P179" t="str">
        <f t="shared" si="60"/>
        <v>手术费</v>
      </c>
    </row>
    <row r="180" spans="1:16">
      <c r="A180" t="str">
        <f>"阻生牙龈瓣修整费-儿童（加收）"</f>
        <v>阻生牙龈瓣修整费-儿童（加收）</v>
      </c>
      <c r="B180" t="str">
        <f>"013306020100001"</f>
        <v>013306020100001</v>
      </c>
      <c r="C180" t="str">
        <f t="shared" si="57"/>
        <v>手术</v>
      </c>
      <c r="G180">
        <v>21</v>
      </c>
      <c r="I180" t="str">
        <f t="shared" si="58"/>
        <v>每牙</v>
      </c>
      <c r="K180" t="str">
        <f>"ZSYYBXZFETJS"</f>
        <v>ZSYYBXZFETJS</v>
      </c>
      <c r="L180" t="str">
        <f>"BTAHUWGXQULN"</f>
        <v>BTAHUWGXQULN</v>
      </c>
      <c r="M180">
        <v>23.4</v>
      </c>
      <c r="O180" t="str">
        <f t="shared" si="59"/>
        <v>每牙</v>
      </c>
      <c r="P180" t="str">
        <f>"治疗费"</f>
        <v>治疗费</v>
      </c>
    </row>
    <row r="181" spans="1:16">
      <c r="A181" t="str">
        <f>"口腔骨突修整费"</f>
        <v>口腔骨突修整费</v>
      </c>
      <c r="B181" t="str">
        <f>"013306020200000"</f>
        <v>013306020200000</v>
      </c>
      <c r="C181" t="str">
        <f t="shared" si="57"/>
        <v>手术</v>
      </c>
      <c r="G181">
        <v>65</v>
      </c>
      <c r="K181" t="str">
        <f>"KQGTXZF"</f>
        <v>KQGTXZF</v>
      </c>
      <c r="L181" t="str">
        <f>"KEMPWGX"</f>
        <v>KEMPWGX</v>
      </c>
      <c r="M181">
        <v>65</v>
      </c>
      <c r="O181" t="str">
        <f t="shared" si="59"/>
        <v>每牙</v>
      </c>
      <c r="P181" t="str">
        <f t="shared" ref="P181:P186" si="61">"手术费"</f>
        <v>手术费</v>
      </c>
    </row>
    <row r="182" spans="1:16">
      <c r="A182" t="str">
        <f>"口腔骨突修整费-儿童（加收）"</f>
        <v>口腔骨突修整费-儿童（加收）</v>
      </c>
      <c r="B182" t="str">
        <f>"013306020200001"</f>
        <v>013306020200001</v>
      </c>
      <c r="C182" t="str">
        <f t="shared" si="57"/>
        <v>手术</v>
      </c>
      <c r="G182">
        <v>19.5</v>
      </c>
      <c r="K182" t="str">
        <f>"KQGTXZFETJS"</f>
        <v>KQGTXZFETJS</v>
      </c>
      <c r="L182" t="str">
        <f>"KEMPWGXQULN"</f>
        <v>KEMPWGXQULN</v>
      </c>
      <c r="M182">
        <v>19.5</v>
      </c>
      <c r="O182" t="str">
        <f>"【未知代码:牙】"</f>
        <v>【未知代码:牙】</v>
      </c>
      <c r="P182" t="str">
        <f>"治疗费"</f>
        <v>治疗费</v>
      </c>
    </row>
    <row r="183" spans="1:16">
      <c r="A183" t="str">
        <f>"口腔骨突修整费-复杂骨突（加收）"</f>
        <v>口腔骨突修整费-复杂骨突（加收）</v>
      </c>
      <c r="B183" t="str">
        <f>"013306020200011"</f>
        <v>013306020200011</v>
      </c>
      <c r="C183" t="str">
        <f t="shared" si="57"/>
        <v>手术</v>
      </c>
      <c r="G183">
        <v>101</v>
      </c>
      <c r="K183" t="str">
        <f>"KQGTXZFFZGTJS"</f>
        <v>KQGTXZFFZGTJS</v>
      </c>
      <c r="L183" t="str">
        <f>"KEMPWGXTVMPLN"</f>
        <v>KEMPWGXTVMPLN</v>
      </c>
      <c r="M183">
        <v>101</v>
      </c>
      <c r="O183" t="str">
        <f t="shared" ref="O183:O188" si="62">"每牙"</f>
        <v>每牙</v>
      </c>
      <c r="P183" t="str">
        <f t="shared" si="61"/>
        <v>手术费</v>
      </c>
    </row>
    <row r="184" spans="1:16">
      <c r="A184" t="str">
        <f>"脓肿切开引流费（口内）"</f>
        <v>脓肿切开引流费（口内）</v>
      </c>
      <c r="B184" t="str">
        <f>"013306020220000"</f>
        <v>013306020220000</v>
      </c>
      <c r="C184" t="str">
        <f t="shared" si="57"/>
        <v>手术</v>
      </c>
      <c r="G184">
        <v>9</v>
      </c>
      <c r="I184" t="str">
        <f>"次"</f>
        <v>次</v>
      </c>
      <c r="K184" t="str">
        <f>"NZQKYLFKN"</f>
        <v>NZQKYLFKN</v>
      </c>
      <c r="L184" t="str">
        <f>"EEAGXIXKM"</f>
        <v>EEAGXIXKM</v>
      </c>
      <c r="M184">
        <v>10</v>
      </c>
      <c r="O184" t="str">
        <f>"次"</f>
        <v>次</v>
      </c>
      <c r="P184" t="str">
        <f t="shared" si="61"/>
        <v>手术费</v>
      </c>
    </row>
    <row r="185" spans="1:16">
      <c r="A185" t="str">
        <f>"脓肿切开引流费（口内）-儿童（加收）"</f>
        <v>脓肿切开引流费（口内）-儿童（加收）</v>
      </c>
      <c r="B185" t="str">
        <f>"013306020220001"</f>
        <v>013306020220001</v>
      </c>
      <c r="C185" t="str">
        <f t="shared" si="57"/>
        <v>手术</v>
      </c>
      <c r="G185">
        <v>2.7</v>
      </c>
      <c r="I185" t="str">
        <f>"次"</f>
        <v>次</v>
      </c>
      <c r="K185" t="str">
        <f>"NZQKYLFKNETJS"</f>
        <v>NZQKYLFKNETJS</v>
      </c>
      <c r="L185" t="str">
        <f>"EEAGXIXKMQULN"</f>
        <v>EEAGXIXKMQULN</v>
      </c>
      <c r="M185">
        <v>3</v>
      </c>
      <c r="O185" t="str">
        <f>"次"</f>
        <v>次</v>
      </c>
      <c r="P185" t="str">
        <f t="shared" si="61"/>
        <v>手术费</v>
      </c>
    </row>
    <row r="186" spans="1:16">
      <c r="A186" t="str">
        <f>"根面平整费"</f>
        <v>根面平整费</v>
      </c>
      <c r="B186" t="str">
        <f>"013306020270000"</f>
        <v>013306020270000</v>
      </c>
      <c r="C186" t="str">
        <f t="shared" si="57"/>
        <v>手术</v>
      </c>
      <c r="G186">
        <v>22</v>
      </c>
      <c r="I186" t="str">
        <f>"每牙"</f>
        <v>每牙</v>
      </c>
      <c r="K186" t="str">
        <f>"GMPZF"</f>
        <v>GMPZF</v>
      </c>
      <c r="L186" t="str">
        <f>"SDGGX"</f>
        <v>SDGGX</v>
      </c>
      <c r="M186">
        <v>24</v>
      </c>
      <c r="O186" t="str">
        <f t="shared" si="62"/>
        <v>每牙</v>
      </c>
      <c r="P186" t="str">
        <f t="shared" si="61"/>
        <v>手术费</v>
      </c>
    </row>
    <row r="187" spans="1:16">
      <c r="A187" t="str">
        <f>"根面平整费-儿童（加收）"</f>
        <v>根面平整费-儿童（加收）</v>
      </c>
      <c r="B187" t="str">
        <f>"013306020270001"</f>
        <v>013306020270001</v>
      </c>
      <c r="C187" t="str">
        <f t="shared" si="57"/>
        <v>手术</v>
      </c>
      <c r="G187">
        <v>6.6</v>
      </c>
      <c r="I187" t="str">
        <f>"每牙"</f>
        <v>每牙</v>
      </c>
      <c r="K187" t="str">
        <f>"GMPZFETJS"</f>
        <v>GMPZFETJS</v>
      </c>
      <c r="L187" t="str">
        <f>"SDGGXQULN"</f>
        <v>SDGGXQULN</v>
      </c>
      <c r="M187">
        <v>7.2</v>
      </c>
      <c r="O187" t="str">
        <f t="shared" si="62"/>
        <v>每牙</v>
      </c>
      <c r="P187" t="str">
        <f>"治疗费"</f>
        <v>治疗费</v>
      </c>
    </row>
    <row r="188" spans="1:16">
      <c r="A188" t="str">
        <f>"牙周翻瓣费"</f>
        <v>牙周翻瓣费</v>
      </c>
      <c r="B188" t="str">
        <f>"013306020280000"</f>
        <v>013306020280000</v>
      </c>
      <c r="C188" t="str">
        <f t="shared" si="57"/>
        <v>手术</v>
      </c>
      <c r="G188">
        <v>168</v>
      </c>
      <c r="K188" t="str">
        <f>"YZFBF"</f>
        <v>YZFBF</v>
      </c>
      <c r="L188" t="str">
        <f>"AMTUX"</f>
        <v>AMTUX</v>
      </c>
      <c r="M188">
        <v>168</v>
      </c>
      <c r="O188" t="str">
        <f t="shared" si="62"/>
        <v>每牙</v>
      </c>
      <c r="P188" t="str">
        <f t="shared" ref="P188:P192" si="63">"手术费"</f>
        <v>手术费</v>
      </c>
    </row>
    <row r="189" spans="1:16">
      <c r="A189" t="str">
        <f>"牙周翻瓣费-儿童（加收）"</f>
        <v>牙周翻瓣费-儿童（加收）</v>
      </c>
      <c r="B189" t="str">
        <f>"013306020280001"</f>
        <v>013306020280001</v>
      </c>
      <c r="C189" t="str">
        <f t="shared" ref="C189:C255" si="64">"治疗"</f>
        <v>治疗</v>
      </c>
      <c r="G189">
        <v>50.4</v>
      </c>
      <c r="K189" t="str">
        <f>"YZFBFETJS"</f>
        <v>YZFBFETJS</v>
      </c>
      <c r="L189" t="str">
        <f>"AMTUXQULN"</f>
        <v>AMTUXQULN</v>
      </c>
      <c r="M189">
        <v>50.4</v>
      </c>
      <c r="O189" t="str">
        <f>"【未知代码:牙】"</f>
        <v>【未知代码:牙】</v>
      </c>
      <c r="P189" t="str">
        <f t="shared" ref="P189:P255" si="65">"治疗费"</f>
        <v>治疗费</v>
      </c>
    </row>
    <row r="190" spans="1:16">
      <c r="A190" t="str">
        <f>"牙周翻瓣费-复杂牙周翻瓣（加收）"</f>
        <v>牙周翻瓣费-复杂牙周翻瓣（加收）</v>
      </c>
      <c r="B190" t="str">
        <f>"013306020280011"</f>
        <v>013306020280011</v>
      </c>
      <c r="C190" t="str">
        <f t="shared" ref="C190:C192" si="66">"手术"</f>
        <v>手术</v>
      </c>
      <c r="G190">
        <v>50.4</v>
      </c>
      <c r="K190" t="str">
        <f>"YZFBFFZYZFBJS"</f>
        <v>YZFBFFZYZFBJS</v>
      </c>
      <c r="L190" t="str">
        <f>"AMTUXTVAMTULN"</f>
        <v>AMTUXTVAMTULN</v>
      </c>
      <c r="M190">
        <v>50.4</v>
      </c>
      <c r="O190" t="str">
        <f>"每牙"</f>
        <v>每牙</v>
      </c>
      <c r="P190" t="str">
        <f t="shared" si="63"/>
        <v>手术费</v>
      </c>
    </row>
    <row r="191" spans="1:16">
      <c r="A191" t="str">
        <f>"浅表异物取出费"</f>
        <v>浅表异物取出费</v>
      </c>
      <c r="B191" t="str">
        <f>"013316000010000"</f>
        <v>013316000010000</v>
      </c>
      <c r="C191" t="str">
        <f t="shared" si="66"/>
        <v>手术</v>
      </c>
      <c r="G191">
        <v>138</v>
      </c>
      <c r="K191" t="str">
        <f>"QBYWQCF"</f>
        <v>QBYWQCF</v>
      </c>
      <c r="L191" t="str">
        <f>"IGNTBBX"</f>
        <v>IGNTBBX</v>
      </c>
      <c r="M191">
        <v>138</v>
      </c>
      <c r="O191" t="str">
        <f>"每个 皮损"</f>
        <v>每个 皮损</v>
      </c>
      <c r="P191" t="str">
        <f t="shared" si="63"/>
        <v>手术费</v>
      </c>
    </row>
    <row r="192" spans="1:16">
      <c r="A192" t="str">
        <f>"浅表肿物去除费"</f>
        <v>浅表肿物去除费</v>
      </c>
      <c r="B192" t="str">
        <f>"013316000030000"</f>
        <v>013316000030000</v>
      </c>
      <c r="C192" t="str">
        <f t="shared" si="66"/>
        <v>手术</v>
      </c>
      <c r="G192">
        <v>136</v>
      </c>
      <c r="I192" t="str">
        <f t="shared" ref="I192:I255" si="67">"次"</f>
        <v>次</v>
      </c>
      <c r="K192" t="str">
        <f>"QBZWQCF"</f>
        <v>QBZWQCF</v>
      </c>
      <c r="L192" t="str">
        <f>"IGETFBX"</f>
        <v>IGETFBX</v>
      </c>
      <c r="M192">
        <v>162</v>
      </c>
      <c r="O192" t="str">
        <f>"个"</f>
        <v>个</v>
      </c>
      <c r="P192" t="str">
        <f t="shared" si="63"/>
        <v>手术费</v>
      </c>
    </row>
    <row r="193" spans="1:16">
      <c r="A193" t="str">
        <f>"中药贴敷"</f>
        <v>中药贴敷</v>
      </c>
      <c r="B193" t="str">
        <f>"014100000010000"</f>
        <v>014100000010000</v>
      </c>
      <c r="C193" t="str">
        <f t="shared" si="64"/>
        <v>治疗</v>
      </c>
      <c r="G193">
        <v>53</v>
      </c>
      <c r="I193" t="str">
        <f t="shared" si="67"/>
        <v>次</v>
      </c>
      <c r="K193" t="str">
        <f>"ZYTF"</f>
        <v>ZYTF</v>
      </c>
      <c r="L193" t="str">
        <f>"KAMG"</f>
        <v>KAMG</v>
      </c>
      <c r="M193">
        <v>53</v>
      </c>
      <c r="N193" t="str">
        <f>"014100000010000"</f>
        <v>014100000010000</v>
      </c>
      <c r="O193" t="str">
        <f t="shared" ref="O193:O203" si="68">"次"</f>
        <v>次</v>
      </c>
      <c r="P193" t="str">
        <f t="shared" si="65"/>
        <v>治疗费</v>
      </c>
    </row>
    <row r="194" spans="1:16">
      <c r="A194" t="str">
        <f>"中药贴敷-中药硬膏贴敷（加收）"</f>
        <v>中药贴敷-中药硬膏贴敷（加收）</v>
      </c>
      <c r="B194" t="str">
        <f>"014100000010001"</f>
        <v>014100000010001</v>
      </c>
      <c r="C194" t="str">
        <f t="shared" si="64"/>
        <v>治疗</v>
      </c>
      <c r="G194">
        <v>5.3</v>
      </c>
      <c r="I194" t="str">
        <f t="shared" si="67"/>
        <v>次</v>
      </c>
      <c r="K194" t="str">
        <f>"ZYTFZYYGTFJS"</f>
        <v>ZYTFZYYGTFJS</v>
      </c>
      <c r="L194" t="str">
        <f>"KAMGKADYMGLN"</f>
        <v>KAMGKADYMGLN</v>
      </c>
      <c r="M194">
        <v>5.3</v>
      </c>
      <c r="N194" t="str">
        <f>"014100000010001"</f>
        <v>014100000010001</v>
      </c>
      <c r="O194" t="str">
        <f t="shared" si="68"/>
        <v>次</v>
      </c>
      <c r="P194" t="str">
        <f t="shared" si="65"/>
        <v>治疗费</v>
      </c>
    </row>
    <row r="195" spans="1:16">
      <c r="A195" t="str">
        <f>"中药贴敷-中药贴敷（大）（加收）"</f>
        <v>中药贴敷-中药贴敷（大）（加收）</v>
      </c>
      <c r="B195" t="str">
        <f>"014100000010002"</f>
        <v>014100000010002</v>
      </c>
      <c r="C195" t="str">
        <f t="shared" si="64"/>
        <v>治疗</v>
      </c>
      <c r="G195">
        <v>5.3</v>
      </c>
      <c r="I195" t="str">
        <f t="shared" si="67"/>
        <v>次</v>
      </c>
      <c r="K195" t="str">
        <f>"ZYTFZYTFDJS"</f>
        <v>ZYTFZYTFDJS</v>
      </c>
      <c r="L195" t="str">
        <f>"KAMGKAMGDLN"</f>
        <v>KAMGKAMGDLN</v>
      </c>
      <c r="M195">
        <v>5.3</v>
      </c>
      <c r="N195" t="str">
        <f>"014100000010002"</f>
        <v>014100000010002</v>
      </c>
      <c r="O195" t="str">
        <f t="shared" si="68"/>
        <v>次</v>
      </c>
      <c r="P195" t="str">
        <f t="shared" si="65"/>
        <v>治疗费</v>
      </c>
    </row>
    <row r="196" spans="1:16">
      <c r="A196" t="str">
        <f>"中药贴敷-中药贴敷（特大）（加收）"</f>
        <v>中药贴敷-中药贴敷（特大）（加收）</v>
      </c>
      <c r="B196" t="str">
        <f>"014100000010003"</f>
        <v>014100000010003</v>
      </c>
      <c r="C196" t="str">
        <f t="shared" si="64"/>
        <v>治疗</v>
      </c>
      <c r="G196">
        <v>10.6</v>
      </c>
      <c r="I196" t="str">
        <f t="shared" si="67"/>
        <v>次</v>
      </c>
      <c r="K196" t="str">
        <f>"ZYTFZYTFTDJS"</f>
        <v>ZYTFZYTFTDJS</v>
      </c>
      <c r="L196" t="str">
        <f>"KAMGKAMGTDLN"</f>
        <v>KAMGKAMGTDLN</v>
      </c>
      <c r="M196">
        <v>10.6</v>
      </c>
      <c r="N196" t="str">
        <f>"014100000010003"</f>
        <v>014100000010003</v>
      </c>
      <c r="O196" t="str">
        <f t="shared" si="68"/>
        <v>次</v>
      </c>
      <c r="P196" t="str">
        <f t="shared" si="65"/>
        <v>治疗费</v>
      </c>
    </row>
    <row r="197" spans="1:16">
      <c r="A197" t="str">
        <f>"中药贴敷-中药热奄包（扩展）"</f>
        <v>中药贴敷-中药热奄包（扩展）</v>
      </c>
      <c r="B197" t="str">
        <f>"014100000010100"</f>
        <v>014100000010100</v>
      </c>
      <c r="C197" t="str">
        <f t="shared" si="64"/>
        <v>治疗</v>
      </c>
      <c r="G197">
        <v>53</v>
      </c>
      <c r="I197" t="str">
        <f t="shared" si="67"/>
        <v>次</v>
      </c>
      <c r="K197" t="str">
        <f>"ZYTFZYRYBKZ"</f>
        <v>ZYTFZYRYBKZ</v>
      </c>
      <c r="L197" t="str">
        <f>"KAMGKARDQRN"</f>
        <v>KAMGKARDQRN</v>
      </c>
      <c r="M197">
        <v>53</v>
      </c>
      <c r="N197" t="str">
        <f>"014100000010100"</f>
        <v>014100000010100</v>
      </c>
      <c r="O197" t="str">
        <f t="shared" si="68"/>
        <v>次</v>
      </c>
      <c r="P197" t="str">
        <f t="shared" si="65"/>
        <v>治疗费</v>
      </c>
    </row>
    <row r="198" spans="1:16">
      <c r="A198" t="str">
        <f>"中药贴敷-中药热奄包（扩展）（签约）"</f>
        <v>中药贴敷-中药热奄包（扩展）（签约）</v>
      </c>
      <c r="B198" t="str">
        <f>"014100000010100-1"</f>
        <v>014100000010100-1</v>
      </c>
      <c r="C198" t="str">
        <f t="shared" si="64"/>
        <v>治疗</v>
      </c>
      <c r="G198" t="str">
        <f>"0"</f>
        <v>0</v>
      </c>
      <c r="I198" t="str">
        <f t="shared" si="67"/>
        <v>次</v>
      </c>
      <c r="K198" t="str">
        <f>"ZYTFZYRYBKZQY"</f>
        <v>ZYTFZYRYBKZQY</v>
      </c>
      <c r="L198" t="str">
        <f>"KAMGKARDQRNTX"</f>
        <v>KAMGKARDQRNTX</v>
      </c>
      <c r="M198">
        <v>53</v>
      </c>
      <c r="O198" t="str">
        <f t="shared" si="68"/>
        <v>次</v>
      </c>
      <c r="P198" t="str">
        <f t="shared" si="65"/>
        <v>治疗费</v>
      </c>
    </row>
    <row r="199" spans="1:16">
      <c r="A199" t="str">
        <f>"中药烫熨"</f>
        <v>中药烫熨</v>
      </c>
      <c r="B199" t="str">
        <f>"014100000030000"</f>
        <v>014100000030000</v>
      </c>
      <c r="C199" t="str">
        <f t="shared" si="64"/>
        <v>治疗</v>
      </c>
      <c r="G199">
        <v>41</v>
      </c>
      <c r="I199" t="str">
        <f t="shared" si="67"/>
        <v>次</v>
      </c>
      <c r="K199" t="str">
        <f>"ZYT"</f>
        <v>ZYT</v>
      </c>
      <c r="L199" t="str">
        <f>"KAIN"</f>
        <v>KAIN</v>
      </c>
      <c r="M199">
        <v>41</v>
      </c>
      <c r="N199" t="str">
        <f>"014100000030000"</f>
        <v>014100000030000</v>
      </c>
      <c r="O199" t="str">
        <f t="shared" si="68"/>
        <v>次</v>
      </c>
      <c r="P199" t="str">
        <f t="shared" si="65"/>
        <v>治疗费</v>
      </c>
    </row>
    <row r="200" spans="1:16">
      <c r="A200" t="str">
        <f>"中药泡洗"</f>
        <v>中药泡洗</v>
      </c>
      <c r="B200" t="str">
        <f>"014100000040000"</f>
        <v>014100000040000</v>
      </c>
      <c r="C200" t="str">
        <f t="shared" si="64"/>
        <v>治疗</v>
      </c>
      <c r="G200">
        <v>9</v>
      </c>
      <c r="I200" t="str">
        <f t="shared" si="67"/>
        <v>次</v>
      </c>
      <c r="K200" t="str">
        <f>"ZYPX"</f>
        <v>ZYPX</v>
      </c>
      <c r="L200" t="str">
        <f>"KAII"</f>
        <v>KAII</v>
      </c>
      <c r="M200">
        <v>9</v>
      </c>
      <c r="N200" t="str">
        <f>"014100000040000"</f>
        <v>014100000040000</v>
      </c>
      <c r="O200" t="str">
        <f t="shared" si="68"/>
        <v>次</v>
      </c>
      <c r="P200" t="str">
        <f t="shared" si="65"/>
        <v>治疗费</v>
      </c>
    </row>
    <row r="201" spans="1:16">
      <c r="A201" t="str">
        <f>"中药涂擦"</f>
        <v>中药涂擦</v>
      </c>
      <c r="B201" t="str">
        <f>"014100000070000"</f>
        <v>014100000070000</v>
      </c>
      <c r="C201" t="str">
        <f t="shared" si="64"/>
        <v>治疗</v>
      </c>
      <c r="G201">
        <v>15</v>
      </c>
      <c r="I201" t="str">
        <f t="shared" si="67"/>
        <v>次</v>
      </c>
      <c r="K201" t="str">
        <f>"ZYTC"</f>
        <v>ZYTC</v>
      </c>
      <c r="L201" t="str">
        <f>"KAIR"</f>
        <v>KAIR</v>
      </c>
      <c r="M201">
        <v>15</v>
      </c>
      <c r="N201" t="str">
        <f>"014100000070000"</f>
        <v>014100000070000</v>
      </c>
      <c r="O201" t="str">
        <f t="shared" si="68"/>
        <v>次</v>
      </c>
      <c r="P201" t="str">
        <f t="shared" si="65"/>
        <v>治疗费</v>
      </c>
    </row>
    <row r="202" spans="1:16">
      <c r="A202" t="str">
        <f>"中药涂擦-中药涂擦（特大）（加收）"</f>
        <v>中药涂擦-中药涂擦（特大）（加收）</v>
      </c>
      <c r="B202" t="str">
        <f>"014100000070001"</f>
        <v>014100000070001</v>
      </c>
      <c r="C202" t="str">
        <f t="shared" si="64"/>
        <v>治疗</v>
      </c>
      <c r="G202">
        <v>3</v>
      </c>
      <c r="I202" t="str">
        <f t="shared" si="67"/>
        <v>次</v>
      </c>
      <c r="K202" t="str">
        <f>"ZYTCZYTCTDJS"</f>
        <v>ZYTCZYTCTDJS</v>
      </c>
      <c r="L202" t="str">
        <f>"KAIRKAIRTDLN"</f>
        <v>KAIRKAIRTDLN</v>
      </c>
      <c r="M202">
        <v>3</v>
      </c>
      <c r="N202" t="str">
        <f>"014100000070001"</f>
        <v>014100000070001</v>
      </c>
      <c r="O202" t="str">
        <f t="shared" si="68"/>
        <v>次</v>
      </c>
      <c r="P202" t="str">
        <f t="shared" si="65"/>
        <v>治疗费</v>
      </c>
    </row>
    <row r="203" spans="1:16">
      <c r="A203" t="str">
        <f>"中医熏洗"</f>
        <v>中医熏洗</v>
      </c>
      <c r="B203" t="str">
        <f>"014100000080000"</f>
        <v>014100000080000</v>
      </c>
      <c r="C203" t="str">
        <f t="shared" si="64"/>
        <v>治疗</v>
      </c>
      <c r="G203">
        <v>43</v>
      </c>
      <c r="I203" t="str">
        <f t="shared" si="67"/>
        <v>次</v>
      </c>
      <c r="K203" t="str">
        <f>"ZYXX"</f>
        <v>ZYXX</v>
      </c>
      <c r="L203" t="str">
        <f>"KATI"</f>
        <v>KATI</v>
      </c>
      <c r="M203">
        <v>43</v>
      </c>
      <c r="N203" t="str">
        <f>"014100000080000"</f>
        <v>014100000080000</v>
      </c>
      <c r="O203" t="str">
        <f t="shared" si="68"/>
        <v>次</v>
      </c>
      <c r="P203" t="str">
        <f t="shared" si="65"/>
        <v>治疗费</v>
      </c>
    </row>
    <row r="204" spans="1:16">
      <c r="A204" t="str">
        <f>"中医挑治"</f>
        <v>中医挑治</v>
      </c>
      <c r="B204" t="str">
        <f>"014100000130000"</f>
        <v>014100000130000</v>
      </c>
      <c r="C204" t="str">
        <f t="shared" si="64"/>
        <v>治疗</v>
      </c>
      <c r="G204">
        <v>25</v>
      </c>
      <c r="I204" t="str">
        <f t="shared" si="67"/>
        <v>次</v>
      </c>
      <c r="K204" t="str">
        <f>"ZYTZ"</f>
        <v>ZYTZ</v>
      </c>
      <c r="L204" t="str">
        <f>"KARI"</f>
        <v>KARI</v>
      </c>
      <c r="M204">
        <v>25</v>
      </c>
      <c r="N204" t="str">
        <f>"014100000130000"</f>
        <v>014100000130000</v>
      </c>
      <c r="O204" t="str">
        <f>"挑治部位"</f>
        <v>挑治部位</v>
      </c>
      <c r="P204" t="str">
        <f t="shared" si="65"/>
        <v>治疗费</v>
      </c>
    </row>
    <row r="205" spans="1:16">
      <c r="A205" t="str">
        <f>"中医割治"</f>
        <v>中医割治</v>
      </c>
      <c r="B205" t="str">
        <f>"014100000140000"</f>
        <v>014100000140000</v>
      </c>
      <c r="C205" t="str">
        <f t="shared" si="64"/>
        <v>治疗</v>
      </c>
      <c r="G205">
        <v>29</v>
      </c>
      <c r="I205" t="str">
        <f t="shared" si="67"/>
        <v>次</v>
      </c>
      <c r="K205" t="str">
        <f>"ZYGZ"</f>
        <v>ZYGZ</v>
      </c>
      <c r="L205" t="str">
        <f>"KAPI"</f>
        <v>KAPI</v>
      </c>
      <c r="M205">
        <v>29</v>
      </c>
      <c r="N205" t="str">
        <f>"014100000140000"</f>
        <v>014100000140000</v>
      </c>
      <c r="O205" t="str">
        <f t="shared" ref="O205:O210" si="69">"次"</f>
        <v>次</v>
      </c>
      <c r="P205" t="str">
        <f t="shared" si="65"/>
        <v>治疗费</v>
      </c>
    </row>
    <row r="206" spans="1:16">
      <c r="A206" t="str">
        <f>"中医穴位放血治疗"</f>
        <v>中医穴位放血治疗</v>
      </c>
      <c r="B206" t="str">
        <f>"014100000150000"</f>
        <v>014100000150000</v>
      </c>
      <c r="C206" t="str">
        <f t="shared" si="64"/>
        <v>治疗</v>
      </c>
      <c r="G206">
        <v>56</v>
      </c>
      <c r="I206" t="str">
        <f t="shared" si="67"/>
        <v>次</v>
      </c>
      <c r="K206" t="str">
        <f>"ZYXWFXZL"</f>
        <v>ZYXWFXZL</v>
      </c>
      <c r="L206" t="str">
        <f>"KAPWYTIU"</f>
        <v>KAPWYTIU</v>
      </c>
      <c r="M206">
        <v>56</v>
      </c>
      <c r="N206" t="str">
        <f>"014100000150000"</f>
        <v>014100000150000</v>
      </c>
      <c r="O206" t="str">
        <f t="shared" si="69"/>
        <v>次</v>
      </c>
      <c r="P206" t="str">
        <f t="shared" si="65"/>
        <v>治疗费</v>
      </c>
    </row>
    <row r="207" spans="1:16">
      <c r="A207" t="str">
        <f>"中医穴位放血治疗-甲床放血（加收）"</f>
        <v>中医穴位放血治疗-甲床放血（加收）</v>
      </c>
      <c r="B207" t="str">
        <f>"014100000150001"</f>
        <v>014100000150001</v>
      </c>
      <c r="C207" t="str">
        <f t="shared" si="64"/>
        <v>治疗</v>
      </c>
      <c r="G207">
        <v>5.6</v>
      </c>
      <c r="I207" t="str">
        <f t="shared" si="67"/>
        <v>次</v>
      </c>
      <c r="K207" t="str">
        <f>"ZYXWFXZLJCFXJS"</f>
        <v>ZYXWFXZLJCFXJS</v>
      </c>
      <c r="L207" t="str">
        <f>"KAPWYTIULYYTLN"</f>
        <v>KAPWYTIULYYTLN</v>
      </c>
      <c r="M207">
        <v>5.6</v>
      </c>
      <c r="N207" t="str">
        <f>"014100000150001"</f>
        <v>014100000150001</v>
      </c>
      <c r="O207" t="str">
        <f>"每甲"</f>
        <v>每甲</v>
      </c>
      <c r="P207" t="str">
        <f t="shared" si="65"/>
        <v>治疗费</v>
      </c>
    </row>
    <row r="208" spans="1:16">
      <c r="A208" t="str">
        <f>"中医穴位放血治疗-刺络放血（加收）"</f>
        <v>中医穴位放血治疗-刺络放血（加收）</v>
      </c>
      <c r="B208" t="str">
        <f>"014100000150002"</f>
        <v>014100000150002</v>
      </c>
      <c r="C208" t="str">
        <f t="shared" si="64"/>
        <v>治疗</v>
      </c>
      <c r="G208">
        <v>5.6</v>
      </c>
      <c r="I208" t="str">
        <f t="shared" si="67"/>
        <v>次</v>
      </c>
      <c r="K208" t="str">
        <f>"ZYXWFXZLCLFXJS"</f>
        <v>ZYXWFXZLCLFXJS</v>
      </c>
      <c r="L208" t="str">
        <f>"KAPWYTIUGXYTLN"</f>
        <v>KAPWYTIUGXYTLN</v>
      </c>
      <c r="M208">
        <v>5.6</v>
      </c>
      <c r="N208" t="str">
        <f>"014100000150002"</f>
        <v>014100000150002</v>
      </c>
      <c r="O208" t="str">
        <f t="shared" si="69"/>
        <v>次</v>
      </c>
      <c r="P208" t="str">
        <f t="shared" si="65"/>
        <v>治疗费</v>
      </c>
    </row>
    <row r="209" spans="1:16">
      <c r="A209" t="str">
        <f>"中医刮痧"</f>
        <v>中医刮痧</v>
      </c>
      <c r="B209" t="str">
        <f>"014100000170000"</f>
        <v>014100000170000</v>
      </c>
      <c r="C209" t="str">
        <f t="shared" si="64"/>
        <v>治疗</v>
      </c>
      <c r="G209">
        <v>79</v>
      </c>
      <c r="I209" t="str">
        <f t="shared" si="67"/>
        <v>次</v>
      </c>
      <c r="K209" t="str">
        <f>"ZYG"</f>
        <v>ZYG</v>
      </c>
      <c r="L209" t="str">
        <f>"KATU"</f>
        <v>KATU</v>
      </c>
      <c r="M209">
        <v>79</v>
      </c>
      <c r="N209" t="str">
        <f>"014100000170000"</f>
        <v>014100000170000</v>
      </c>
      <c r="O209" t="str">
        <f t="shared" si="69"/>
        <v>次</v>
      </c>
      <c r="P209" t="str">
        <f t="shared" si="65"/>
        <v>治疗费</v>
      </c>
    </row>
    <row r="210" spans="1:16">
      <c r="A210" t="str">
        <f>"砭石疗法"</f>
        <v>砭石疗法</v>
      </c>
      <c r="B210" t="str">
        <f>"014100000180000"</f>
        <v>014100000180000</v>
      </c>
      <c r="C210" t="str">
        <f t="shared" si="64"/>
        <v>治疗</v>
      </c>
      <c r="G210">
        <v>79</v>
      </c>
      <c r="I210" t="str">
        <f t="shared" si="67"/>
        <v>次</v>
      </c>
      <c r="K210" t="str">
        <f>"SLF"</f>
        <v>SLF</v>
      </c>
      <c r="L210" t="str">
        <f>"DDUI"</f>
        <v>DDUI</v>
      </c>
      <c r="M210">
        <v>79</v>
      </c>
      <c r="N210" t="str">
        <f>"014100000180000"</f>
        <v>014100000180000</v>
      </c>
      <c r="O210" t="str">
        <f t="shared" si="69"/>
        <v>次</v>
      </c>
      <c r="P210" t="str">
        <f t="shared" si="65"/>
        <v>治疗费</v>
      </c>
    </row>
    <row r="211" spans="1:16">
      <c r="A211" t="str">
        <f>"常规针法"</f>
        <v>常规针法</v>
      </c>
      <c r="B211" t="str">
        <f>"014200000010000"</f>
        <v>014200000010000</v>
      </c>
      <c r="C211" t="str">
        <f t="shared" si="64"/>
        <v>治疗</v>
      </c>
      <c r="G211">
        <v>84</v>
      </c>
      <c r="I211" t="str">
        <f t="shared" si="67"/>
        <v>次</v>
      </c>
      <c r="K211" t="str">
        <f>"CGZF"</f>
        <v>CGZF</v>
      </c>
      <c r="L211" t="str">
        <f>"IFQI"</f>
        <v>IFQI</v>
      </c>
      <c r="M211">
        <v>84</v>
      </c>
      <c r="O211" t="str">
        <f t="shared" ref="O211:O221" si="70">"次 . 日"</f>
        <v>次 . 日</v>
      </c>
      <c r="P211" t="str">
        <f t="shared" si="65"/>
        <v>治疗费</v>
      </c>
    </row>
    <row r="212" spans="1:16">
      <c r="A212" t="str">
        <f>"常规针法（签约）"</f>
        <v>常规针法（签约）</v>
      </c>
      <c r="B212" t="str">
        <f>"014200000010000-1"</f>
        <v>014200000010000-1</v>
      </c>
      <c r="C212" t="str">
        <f t="shared" si="64"/>
        <v>治疗</v>
      </c>
      <c r="G212" t="str">
        <f>"0"</f>
        <v>0</v>
      </c>
      <c r="I212" t="str">
        <f t="shared" si="67"/>
        <v>次</v>
      </c>
      <c r="K212" t="str">
        <f>"CGZFQY"</f>
        <v>CGZFQY</v>
      </c>
      <c r="L212" t="str">
        <f>"IFQITX"</f>
        <v>IFQITX</v>
      </c>
      <c r="M212">
        <v>80</v>
      </c>
      <c r="O212" t="str">
        <f t="shared" si="70"/>
        <v>次 . 日</v>
      </c>
      <c r="P212" t="str">
        <f t="shared" si="65"/>
        <v>治疗费</v>
      </c>
    </row>
    <row r="213" spans="1:16">
      <c r="A213" t="str">
        <f>"常规针法-儿童（加收）"</f>
        <v>常规针法-儿童（加收）</v>
      </c>
      <c r="B213" t="str">
        <f>"014200000010001"</f>
        <v>014200000010001</v>
      </c>
      <c r="C213" t="str">
        <f t="shared" si="64"/>
        <v>治疗</v>
      </c>
      <c r="G213">
        <v>24</v>
      </c>
      <c r="I213" t="str">
        <f t="shared" si="67"/>
        <v>次</v>
      </c>
      <c r="K213" t="str">
        <f>"CGZFETJS"</f>
        <v>CGZFETJS</v>
      </c>
      <c r="L213" t="str">
        <f>"IFQIQULN"</f>
        <v>IFQIQULN</v>
      </c>
      <c r="M213">
        <v>80</v>
      </c>
      <c r="O213" t="str">
        <f t="shared" si="70"/>
        <v>次 . 日</v>
      </c>
      <c r="P213" t="str">
        <f t="shared" si="65"/>
        <v>治疗费</v>
      </c>
    </row>
    <row r="214" spans="1:16">
      <c r="A214" t="str">
        <f>"常规针法-主任医师（加收）"</f>
        <v>常规针法-主任医师（加收）</v>
      </c>
      <c r="B214" t="str">
        <f>"014200000010011"</f>
        <v>014200000010011</v>
      </c>
      <c r="C214" t="str">
        <f t="shared" si="64"/>
        <v>治疗</v>
      </c>
      <c r="G214">
        <v>80</v>
      </c>
      <c r="I214" t="str">
        <f t="shared" si="67"/>
        <v>次</v>
      </c>
      <c r="K214" t="str">
        <f>"CGZFZRYSJS"</f>
        <v>CGZFZRYSJS</v>
      </c>
      <c r="L214" t="str">
        <f>"IFQIYWAJLN"</f>
        <v>IFQIYWAJLN</v>
      </c>
      <c r="M214">
        <v>80</v>
      </c>
      <c r="O214" t="str">
        <f t="shared" si="70"/>
        <v>次 . 日</v>
      </c>
      <c r="P214" t="str">
        <f t="shared" si="65"/>
        <v>治疗费</v>
      </c>
    </row>
    <row r="215" spans="1:16">
      <c r="A215" t="str">
        <f>"常规针法-副主任医师（加收）"</f>
        <v>常规针法-副主任医师（加收）</v>
      </c>
      <c r="B215" t="str">
        <f>"014200000010012"</f>
        <v>014200000010012</v>
      </c>
      <c r="C215" t="str">
        <f t="shared" si="64"/>
        <v>治疗</v>
      </c>
      <c r="G215">
        <v>8</v>
      </c>
      <c r="I215" t="str">
        <f t="shared" si="67"/>
        <v>次</v>
      </c>
      <c r="K215" t="str">
        <f>"CGZFFZRYSJS"</f>
        <v>CGZFFZRYSJS</v>
      </c>
      <c r="L215" t="str">
        <f>"IFQIGYWAJLN"</f>
        <v>IFQIGYWAJLN</v>
      </c>
      <c r="M215">
        <v>80</v>
      </c>
      <c r="O215" t="str">
        <f t="shared" si="70"/>
        <v>次 . 日</v>
      </c>
      <c r="P215" t="str">
        <f t="shared" si="65"/>
        <v>治疗费</v>
      </c>
    </row>
    <row r="216" spans="1:16">
      <c r="A216" t="str">
        <f>"特殊针具针法"</f>
        <v>特殊针具针法</v>
      </c>
      <c r="B216" t="str">
        <f>"014200000020000"</f>
        <v>014200000020000</v>
      </c>
      <c r="C216" t="str">
        <f t="shared" si="64"/>
        <v>治疗</v>
      </c>
      <c r="G216">
        <v>108</v>
      </c>
      <c r="I216" t="str">
        <f t="shared" si="67"/>
        <v>次</v>
      </c>
      <c r="K216" t="str">
        <f>"TSZJZF"</f>
        <v>TSZJZF</v>
      </c>
      <c r="L216" t="str">
        <f>"TGQHQI"</f>
        <v>TGQHQI</v>
      </c>
      <c r="M216">
        <v>108</v>
      </c>
      <c r="O216" t="str">
        <f t="shared" si="70"/>
        <v>次 . 日</v>
      </c>
      <c r="P216" t="str">
        <f t="shared" si="65"/>
        <v>治疗费</v>
      </c>
    </row>
    <row r="217" spans="1:16">
      <c r="A217" t="str">
        <f>"特殊针具针法-儿童（加收）"</f>
        <v>特殊针具针法-儿童（加收）</v>
      </c>
      <c r="B217" t="str">
        <f>"014200000020001"</f>
        <v>014200000020001</v>
      </c>
      <c r="C217" t="str">
        <f t="shared" si="64"/>
        <v>治疗</v>
      </c>
      <c r="G217">
        <v>31.2</v>
      </c>
      <c r="I217" t="str">
        <f t="shared" si="67"/>
        <v>次</v>
      </c>
      <c r="K217" t="str">
        <f>"TSZJZFETJS"</f>
        <v>TSZJZFETJS</v>
      </c>
      <c r="L217" t="str">
        <f>"TGQHQIQULN"</f>
        <v>TGQHQIQULN</v>
      </c>
      <c r="M217">
        <v>104</v>
      </c>
      <c r="O217" t="str">
        <f t="shared" si="70"/>
        <v>次 . 日</v>
      </c>
      <c r="P217" t="str">
        <f t="shared" si="65"/>
        <v>治疗费</v>
      </c>
    </row>
    <row r="218" spans="1:16">
      <c r="A218" t="str">
        <f>"特殊针具针法-副主任医师（加收）"</f>
        <v>特殊针具针法-副主任医师（加收）</v>
      </c>
      <c r="B218" t="str">
        <f>"014200000020012"</f>
        <v>014200000020012</v>
      </c>
      <c r="C218" t="str">
        <f t="shared" si="64"/>
        <v>治疗</v>
      </c>
      <c r="G218">
        <v>10.4</v>
      </c>
      <c r="I218" t="str">
        <f t="shared" si="67"/>
        <v>次</v>
      </c>
      <c r="K218" t="str">
        <f>"TSZJZFFZRYSJS"</f>
        <v>TSZJZFFZRYSJS</v>
      </c>
      <c r="L218" t="str">
        <f>"TGQHQIGYWAJLN"</f>
        <v>TGQHQIGYWAJLN</v>
      </c>
      <c r="M218">
        <v>104</v>
      </c>
      <c r="O218" t="str">
        <f t="shared" si="70"/>
        <v>次 . 日</v>
      </c>
      <c r="P218" t="str">
        <f t="shared" si="65"/>
        <v>治疗费</v>
      </c>
    </row>
    <row r="219" spans="1:16">
      <c r="A219" t="str">
        <f>"特殊手法针法"</f>
        <v>特殊手法针法</v>
      </c>
      <c r="B219" t="str">
        <f>"014200000030000"</f>
        <v>014200000030000</v>
      </c>
      <c r="C219" t="str">
        <f t="shared" si="64"/>
        <v>治疗</v>
      </c>
      <c r="G219">
        <v>120</v>
      </c>
      <c r="I219" t="str">
        <f t="shared" si="67"/>
        <v>次</v>
      </c>
      <c r="K219" t="str">
        <f>"TSSFZF"</f>
        <v>TSSFZF</v>
      </c>
      <c r="L219" t="str">
        <f>"TGRIQI"</f>
        <v>TGRIQI</v>
      </c>
      <c r="M219">
        <v>120</v>
      </c>
      <c r="O219" t="str">
        <f t="shared" si="70"/>
        <v>次 . 日</v>
      </c>
      <c r="P219" t="str">
        <f t="shared" si="65"/>
        <v>治疗费</v>
      </c>
    </row>
    <row r="220" spans="1:16">
      <c r="A220" t="str">
        <f>"特殊手法针法-儿童（加收）"</f>
        <v>特殊手法针法-儿童（加收）</v>
      </c>
      <c r="B220" t="str">
        <f>"014200000030001"</f>
        <v>014200000030001</v>
      </c>
      <c r="C220" t="str">
        <f t="shared" si="64"/>
        <v>治疗</v>
      </c>
      <c r="G220">
        <v>36</v>
      </c>
      <c r="I220" t="str">
        <f t="shared" si="67"/>
        <v>次</v>
      </c>
      <c r="K220" t="str">
        <f>"TSSFZFETJS"</f>
        <v>TSSFZFETJS</v>
      </c>
      <c r="L220" t="str">
        <f>"TGRIQIQULN"</f>
        <v>TGRIQIQULN</v>
      </c>
      <c r="M220">
        <v>120</v>
      </c>
      <c r="O220" t="str">
        <f t="shared" si="70"/>
        <v>次 . 日</v>
      </c>
      <c r="P220" t="str">
        <f t="shared" si="65"/>
        <v>治疗费</v>
      </c>
    </row>
    <row r="221" spans="1:16">
      <c r="A221" t="str">
        <f>"特殊手法针法-副主任医师（加收）"</f>
        <v>特殊手法针法-副主任医师（加收）</v>
      </c>
      <c r="B221" t="str">
        <f>"014200000030012"</f>
        <v>014200000030012</v>
      </c>
      <c r="C221" t="str">
        <f t="shared" si="64"/>
        <v>治疗</v>
      </c>
      <c r="G221">
        <v>12</v>
      </c>
      <c r="I221" t="str">
        <f t="shared" si="67"/>
        <v>次</v>
      </c>
      <c r="K221" t="str">
        <f>"TSSFZFFZRYSJS"</f>
        <v>TSSFZFFZRYSJS</v>
      </c>
      <c r="L221" t="str">
        <f>"TGRIQIGYWAJLN"</f>
        <v>TGRIQIGYWAJLN</v>
      </c>
      <c r="M221">
        <v>120</v>
      </c>
      <c r="O221" t="str">
        <f t="shared" si="70"/>
        <v>次 . 日</v>
      </c>
      <c r="P221" t="str">
        <f t="shared" si="65"/>
        <v>治疗费</v>
      </c>
    </row>
    <row r="222" spans="1:16">
      <c r="A222" t="str">
        <f>"特殊穴位（部位）针法"</f>
        <v>特殊穴位（部位）针法</v>
      </c>
      <c r="B222" t="str">
        <f>"014200000040000"</f>
        <v>014200000040000</v>
      </c>
      <c r="C222" t="str">
        <f t="shared" si="64"/>
        <v>治疗</v>
      </c>
      <c r="G222">
        <v>12</v>
      </c>
      <c r="I222" t="str">
        <f t="shared" si="67"/>
        <v>次</v>
      </c>
      <c r="K222" t="str">
        <f>"TSXWBWZF"</f>
        <v>TSXWBWZF</v>
      </c>
      <c r="L222" t="str">
        <f>"TGPWUWQI"</f>
        <v>TGPWUWQI</v>
      </c>
      <c r="M222">
        <v>12</v>
      </c>
      <c r="O222" t="str">
        <f t="shared" ref="O222:O224" si="71">"每个 穴位"</f>
        <v>每个 穴位</v>
      </c>
      <c r="P222" t="str">
        <f t="shared" si="65"/>
        <v>治疗费</v>
      </c>
    </row>
    <row r="223" spans="1:16">
      <c r="A223" t="str">
        <f>"特殊穴位（部位）针法-儿童（加收）"</f>
        <v>特殊穴位（部位）针法-儿童（加收）</v>
      </c>
      <c r="B223" t="str">
        <f>"014200000040001"</f>
        <v>014200000040001</v>
      </c>
      <c r="C223" t="str">
        <f t="shared" si="64"/>
        <v>治疗</v>
      </c>
      <c r="G223">
        <v>3.3</v>
      </c>
      <c r="I223" t="str">
        <f t="shared" si="67"/>
        <v>次</v>
      </c>
      <c r="K223" t="str">
        <f>"TSXWBWZFETJS"</f>
        <v>TSXWBWZFETJS</v>
      </c>
      <c r="L223" t="str">
        <f>"TGPWUWQIQULN"</f>
        <v>TGPWUWQIQULN</v>
      </c>
      <c r="M223">
        <v>11</v>
      </c>
      <c r="O223" t="str">
        <f t="shared" si="71"/>
        <v>每个 穴位</v>
      </c>
      <c r="P223" t="str">
        <f t="shared" si="65"/>
        <v>治疗费</v>
      </c>
    </row>
    <row r="224" spans="1:16">
      <c r="A224" t="str">
        <f>"特殊穴位（部位）针法-副主任医师（加收）"</f>
        <v>特殊穴位（部位）针法-副主任医师（加收）</v>
      </c>
      <c r="B224" t="str">
        <f>"014200000040012"</f>
        <v>014200000040012</v>
      </c>
      <c r="C224" t="str">
        <f t="shared" si="64"/>
        <v>治疗</v>
      </c>
      <c r="G224">
        <v>1.1</v>
      </c>
      <c r="I224" t="str">
        <f t="shared" si="67"/>
        <v>次</v>
      </c>
      <c r="K224" t="str">
        <f>"TSXWBWZFFZRYSJS"</f>
        <v>TSXWBWZFFZRYSJS</v>
      </c>
      <c r="L224" t="str">
        <f>"TGPWUWQIGYWAJLN"</f>
        <v>TGPWUWQIGYWAJLN</v>
      </c>
      <c r="M224">
        <v>11</v>
      </c>
      <c r="O224" t="str">
        <f t="shared" si="71"/>
        <v>每个 穴位</v>
      </c>
      <c r="P224" t="str">
        <f t="shared" si="65"/>
        <v>治疗费</v>
      </c>
    </row>
    <row r="225" spans="1:16">
      <c r="A225" t="str">
        <f>"仪器针法"</f>
        <v>仪器针法</v>
      </c>
      <c r="B225" t="str">
        <f>"014200000050000"</f>
        <v>014200000050000</v>
      </c>
      <c r="C225" t="str">
        <f t="shared" si="64"/>
        <v>治疗</v>
      </c>
      <c r="G225">
        <v>16</v>
      </c>
      <c r="I225" t="str">
        <f t="shared" si="67"/>
        <v>次</v>
      </c>
      <c r="K225" t="str">
        <f>"YQZF"</f>
        <v>YQZF</v>
      </c>
      <c r="L225" t="str">
        <f>"WKQI"</f>
        <v>WKQI</v>
      </c>
      <c r="M225">
        <v>16</v>
      </c>
      <c r="O225" t="str">
        <f t="shared" ref="O225:O229" si="72">"次 . 日"</f>
        <v>次 . 日</v>
      </c>
      <c r="P225" t="str">
        <f t="shared" si="65"/>
        <v>治疗费</v>
      </c>
    </row>
    <row r="226" spans="1:16">
      <c r="A226" t="str">
        <f>"仪器针法-儿童（加收）"</f>
        <v>仪器针法-儿童（加收）</v>
      </c>
      <c r="B226" t="str">
        <f>"014200000050001"</f>
        <v>014200000050001</v>
      </c>
      <c r="C226" t="str">
        <f t="shared" si="64"/>
        <v>治疗</v>
      </c>
      <c r="G226">
        <v>4.8</v>
      </c>
      <c r="I226" t="str">
        <f t="shared" si="67"/>
        <v>次</v>
      </c>
      <c r="K226" t="str">
        <f>"YQZFETJS"</f>
        <v>YQZFETJS</v>
      </c>
      <c r="L226" t="str">
        <f>"WKQIQULN"</f>
        <v>WKQIQULN</v>
      </c>
      <c r="M226">
        <v>16</v>
      </c>
      <c r="O226" t="str">
        <f t="shared" si="72"/>
        <v>次 . 日</v>
      </c>
      <c r="P226" t="str">
        <f t="shared" si="65"/>
        <v>治疗费</v>
      </c>
    </row>
    <row r="227" spans="1:16">
      <c r="A227" t="str">
        <f>"体表针法"</f>
        <v>体表针法</v>
      </c>
      <c r="B227" t="str">
        <f>"014200000060000"</f>
        <v>014200000060000</v>
      </c>
      <c r="C227" t="str">
        <f t="shared" si="64"/>
        <v>治疗</v>
      </c>
      <c r="G227">
        <v>35</v>
      </c>
      <c r="I227" t="str">
        <f t="shared" si="67"/>
        <v>次</v>
      </c>
      <c r="K227" t="str">
        <f>"TBZF"</f>
        <v>TBZF</v>
      </c>
      <c r="L227" t="str">
        <f>"WGQI"</f>
        <v>WGQI</v>
      </c>
      <c r="M227">
        <v>35</v>
      </c>
      <c r="O227" t="str">
        <f t="shared" si="72"/>
        <v>次 . 日</v>
      </c>
      <c r="P227" t="str">
        <f t="shared" si="65"/>
        <v>治疗费</v>
      </c>
    </row>
    <row r="228" spans="1:16">
      <c r="A228" t="str">
        <f>"体表针法-儿童（加收）"</f>
        <v>体表针法-儿童（加收）</v>
      </c>
      <c r="B228" t="str">
        <f>"014200000060001"</f>
        <v>014200000060001</v>
      </c>
      <c r="C228" t="str">
        <f t="shared" si="64"/>
        <v>治疗</v>
      </c>
      <c r="G228">
        <v>10.2</v>
      </c>
      <c r="I228" t="str">
        <f t="shared" si="67"/>
        <v>次</v>
      </c>
      <c r="K228" t="str">
        <f>"TBZFETJS"</f>
        <v>TBZFETJS</v>
      </c>
      <c r="L228" t="str">
        <f>"WGQIQULN"</f>
        <v>WGQIQULN</v>
      </c>
      <c r="M228">
        <v>34</v>
      </c>
      <c r="O228" t="str">
        <f t="shared" si="72"/>
        <v>次 . 日</v>
      </c>
      <c r="P228" t="str">
        <f t="shared" si="65"/>
        <v>治疗费</v>
      </c>
    </row>
    <row r="229" spans="1:16">
      <c r="A229" t="str">
        <f>"体表针法-副主任医师（加收）"</f>
        <v>体表针法-副主任医师（加收）</v>
      </c>
      <c r="B229" t="str">
        <f>"014200000060012"</f>
        <v>014200000060012</v>
      </c>
      <c r="C229" t="str">
        <f t="shared" si="64"/>
        <v>治疗</v>
      </c>
      <c r="G229">
        <v>3.4</v>
      </c>
      <c r="I229" t="str">
        <f t="shared" si="67"/>
        <v>次</v>
      </c>
      <c r="K229" t="str">
        <f>"TBZFFZRYSJS"</f>
        <v>TBZFFZRYSJS</v>
      </c>
      <c r="L229" t="str">
        <f>"WGQIGYWAJLN"</f>
        <v>WGQIGYWAJLN</v>
      </c>
      <c r="M229">
        <v>34</v>
      </c>
      <c r="O229" t="str">
        <f t="shared" si="72"/>
        <v>次 . 日</v>
      </c>
      <c r="P229" t="str">
        <f t="shared" si="65"/>
        <v>治疗费</v>
      </c>
    </row>
    <row r="230" spans="1:16">
      <c r="A230" t="str">
        <f>"穴位埋入"</f>
        <v>穴位埋入</v>
      </c>
      <c r="B230" t="str">
        <f>"014200000080000"</f>
        <v>014200000080000</v>
      </c>
      <c r="C230" t="str">
        <f t="shared" si="64"/>
        <v>治疗</v>
      </c>
      <c r="G230">
        <v>25</v>
      </c>
      <c r="I230" t="str">
        <f t="shared" si="67"/>
        <v>次</v>
      </c>
      <c r="K230" t="str">
        <f>"XWMR"</f>
        <v>XWMR</v>
      </c>
      <c r="L230" t="str">
        <f>"PWFT"</f>
        <v>PWFT</v>
      </c>
      <c r="M230">
        <v>25</v>
      </c>
      <c r="O230" t="str">
        <f t="shared" ref="O230:O234" si="73">"每个 穴位"</f>
        <v>每个 穴位</v>
      </c>
      <c r="P230" t="str">
        <f t="shared" si="65"/>
        <v>治疗费</v>
      </c>
    </row>
    <row r="231" spans="1:16">
      <c r="A231" t="str">
        <f>"穴位埋入（签约）"</f>
        <v>穴位埋入（签约）</v>
      </c>
      <c r="B231" t="str">
        <f>"014200000080000-1"</f>
        <v>014200000080000-1</v>
      </c>
      <c r="C231" t="str">
        <f t="shared" si="64"/>
        <v>治疗</v>
      </c>
      <c r="G231" t="str">
        <f>"0"</f>
        <v>0</v>
      </c>
      <c r="I231" t="str">
        <f t="shared" si="67"/>
        <v>次</v>
      </c>
      <c r="K231" t="str">
        <f>"XWMRQY"</f>
        <v>XWMRQY</v>
      </c>
      <c r="L231" t="str">
        <f>"PWFTTX"</f>
        <v>PWFTTX</v>
      </c>
      <c r="M231">
        <v>25</v>
      </c>
      <c r="O231" t="str">
        <f t="shared" si="73"/>
        <v>每个 穴位</v>
      </c>
      <c r="P231" t="str">
        <f t="shared" si="65"/>
        <v>治疗费</v>
      </c>
    </row>
    <row r="232" spans="1:16">
      <c r="A232" t="str">
        <f>"穴位埋入-儿童（加收）"</f>
        <v>穴位埋入-儿童（加收）</v>
      </c>
      <c r="B232" t="str">
        <f>"014200000080001"</f>
        <v>014200000080001</v>
      </c>
      <c r="C232" t="str">
        <f t="shared" si="64"/>
        <v>治疗</v>
      </c>
      <c r="G232">
        <v>7.5</v>
      </c>
      <c r="I232" t="str">
        <f t="shared" si="67"/>
        <v>次</v>
      </c>
      <c r="K232" t="str">
        <f>"XWMRETJS"</f>
        <v>XWMRETJS</v>
      </c>
      <c r="L232" t="str">
        <f>"PWFTQULN"</f>
        <v>PWFTQULN</v>
      </c>
      <c r="M232">
        <v>25</v>
      </c>
      <c r="O232" t="str">
        <f t="shared" si="73"/>
        <v>每个 穴位</v>
      </c>
      <c r="P232" t="str">
        <f t="shared" si="65"/>
        <v>治疗费</v>
      </c>
    </row>
    <row r="233" spans="1:16">
      <c r="A233" t="str">
        <f>"穴位注射"</f>
        <v>穴位注射</v>
      </c>
      <c r="B233" t="str">
        <f>"014200000090000"</f>
        <v>014200000090000</v>
      </c>
      <c r="C233" t="str">
        <f t="shared" si="64"/>
        <v>治疗</v>
      </c>
      <c r="G233">
        <v>12</v>
      </c>
      <c r="I233" t="str">
        <f t="shared" si="67"/>
        <v>次</v>
      </c>
      <c r="K233" t="str">
        <f>"XWZS"</f>
        <v>XWZS</v>
      </c>
      <c r="L233" t="str">
        <f>"PWIT"</f>
        <v>PWIT</v>
      </c>
      <c r="M233">
        <v>18</v>
      </c>
      <c r="O233" t="str">
        <f t="shared" si="73"/>
        <v>每个 穴位</v>
      </c>
      <c r="P233" t="str">
        <f t="shared" si="65"/>
        <v>治疗费</v>
      </c>
    </row>
    <row r="234" spans="1:16">
      <c r="A234" t="str">
        <f>"穴位注射-儿童（加收）"</f>
        <v>穴位注射-儿童（加收）</v>
      </c>
      <c r="B234" t="str">
        <f>"014200000090001"</f>
        <v>014200000090001</v>
      </c>
      <c r="C234" t="str">
        <f t="shared" si="64"/>
        <v>治疗</v>
      </c>
      <c r="G234">
        <v>3</v>
      </c>
      <c r="I234" t="str">
        <f t="shared" si="67"/>
        <v>次</v>
      </c>
      <c r="K234" t="str">
        <f>"XWZSETJS"</f>
        <v>XWZSETJS</v>
      </c>
      <c r="L234" t="str">
        <f>"PWITQULN"</f>
        <v>PWITQULN</v>
      </c>
      <c r="M234">
        <v>5.4</v>
      </c>
      <c r="O234" t="str">
        <f t="shared" si="73"/>
        <v>每个 穴位</v>
      </c>
      <c r="P234" t="str">
        <f t="shared" si="65"/>
        <v>治疗费</v>
      </c>
    </row>
    <row r="235" spans="1:16">
      <c r="A235" t="str">
        <f>"耳穴疗法"</f>
        <v>耳穴疗法</v>
      </c>
      <c r="B235" t="str">
        <f>"014200000100000"</f>
        <v>014200000100000</v>
      </c>
      <c r="C235" t="str">
        <f t="shared" si="64"/>
        <v>治疗</v>
      </c>
      <c r="G235">
        <v>28</v>
      </c>
      <c r="I235" t="str">
        <f t="shared" si="67"/>
        <v>次</v>
      </c>
      <c r="K235" t="str">
        <f>"EXLF"</f>
        <v>EXLF</v>
      </c>
      <c r="L235" t="str">
        <f>"BPUI"</f>
        <v>BPUI</v>
      </c>
      <c r="M235">
        <v>28</v>
      </c>
      <c r="O235" t="str">
        <f t="shared" ref="O235:O237" si="74">"单侧"</f>
        <v>单侧</v>
      </c>
      <c r="P235" t="str">
        <f t="shared" si="65"/>
        <v>治疗费</v>
      </c>
    </row>
    <row r="236" spans="1:16">
      <c r="A236" t="str">
        <f>"耳穴疗法（签约）"</f>
        <v>耳穴疗法（签约）</v>
      </c>
      <c r="B236" t="str">
        <f>"014200000100000-1"</f>
        <v>014200000100000-1</v>
      </c>
      <c r="C236" t="str">
        <f t="shared" si="64"/>
        <v>治疗</v>
      </c>
      <c r="G236" t="str">
        <f>"0"</f>
        <v>0</v>
      </c>
      <c r="I236" t="str">
        <f t="shared" si="67"/>
        <v>次</v>
      </c>
      <c r="K236" t="str">
        <f>"EXLFQY"</f>
        <v>EXLFQY</v>
      </c>
      <c r="L236" t="str">
        <f>"BPUITX"</f>
        <v>BPUITX</v>
      </c>
      <c r="M236">
        <v>24</v>
      </c>
      <c r="O236" t="str">
        <f t="shared" si="74"/>
        <v>单侧</v>
      </c>
      <c r="P236" t="str">
        <f t="shared" si="65"/>
        <v>治疗费</v>
      </c>
    </row>
    <row r="237" spans="1:16">
      <c r="A237" t="str">
        <f>"耳穴疗法-儿童（加收）"</f>
        <v>耳穴疗法-儿童（加收）</v>
      </c>
      <c r="B237" t="str">
        <f>"014200000100001"</f>
        <v>014200000100001</v>
      </c>
      <c r="C237" t="str">
        <f t="shared" si="64"/>
        <v>治疗</v>
      </c>
      <c r="G237">
        <v>8.4</v>
      </c>
      <c r="I237" t="str">
        <f t="shared" si="67"/>
        <v>次</v>
      </c>
      <c r="K237" t="str">
        <f>"EXLFETJS"</f>
        <v>EXLFETJS</v>
      </c>
      <c r="L237" t="str">
        <f>"BPUIQULN"</f>
        <v>BPUIQULN</v>
      </c>
      <c r="M237">
        <v>8.4</v>
      </c>
      <c r="O237" t="str">
        <f t="shared" si="74"/>
        <v>单侧</v>
      </c>
      <c r="P237" t="str">
        <f t="shared" si="65"/>
        <v>治疗费</v>
      </c>
    </row>
    <row r="238" spans="1:16">
      <c r="A238" t="str">
        <f>"小夹板固定术"</f>
        <v>小夹板固定术</v>
      </c>
      <c r="B238" t="str">
        <f>"014300000050000"</f>
        <v>014300000050000</v>
      </c>
      <c r="C238" t="str">
        <f t="shared" si="64"/>
        <v>治疗</v>
      </c>
      <c r="G238">
        <v>200</v>
      </c>
      <c r="I238" t="str">
        <f t="shared" si="67"/>
        <v>次</v>
      </c>
      <c r="K238" t="str">
        <f>"XJBGDS"</f>
        <v>XJBGDS</v>
      </c>
      <c r="L238" t="str">
        <f>"IGSLPS"</f>
        <v>IGSLPS</v>
      </c>
      <c r="M238">
        <v>220</v>
      </c>
      <c r="O238" t="str">
        <f>"部位"</f>
        <v>部位</v>
      </c>
      <c r="P238" t="str">
        <f t="shared" si="65"/>
        <v>治疗费</v>
      </c>
    </row>
    <row r="239" spans="1:16">
      <c r="A239" t="str">
        <f>"小夹板固定术-儿童（加收）"</f>
        <v>小夹板固定术-儿童（加收）</v>
      </c>
      <c r="B239" t="str">
        <f>"014300000050001"</f>
        <v>014300000050001</v>
      </c>
      <c r="C239" t="str">
        <f t="shared" si="64"/>
        <v>治疗</v>
      </c>
      <c r="G239">
        <v>60</v>
      </c>
      <c r="I239" t="str">
        <f t="shared" si="67"/>
        <v>次</v>
      </c>
      <c r="K239" t="str">
        <f>"XJBGDSETJS"</f>
        <v>XJBGDSETJS</v>
      </c>
      <c r="L239" t="str">
        <f>"IGSLPSQULN"</f>
        <v>IGSLPSQULN</v>
      </c>
      <c r="M239">
        <v>220</v>
      </c>
      <c r="O239" t="str">
        <f>"部位"</f>
        <v>部位</v>
      </c>
      <c r="P239" t="str">
        <f t="shared" si="65"/>
        <v>治疗费</v>
      </c>
    </row>
    <row r="240" spans="1:16">
      <c r="A240" t="str">
        <f>"手法松解术"</f>
        <v>手法松解术</v>
      </c>
      <c r="B240" t="str">
        <f>"014300000080000"</f>
        <v>014300000080000</v>
      </c>
      <c r="C240" t="str">
        <f t="shared" si="64"/>
        <v>治疗</v>
      </c>
      <c r="G240">
        <v>123</v>
      </c>
      <c r="I240" t="str">
        <f t="shared" si="67"/>
        <v>次</v>
      </c>
      <c r="K240" t="str">
        <f>"SFSJS"</f>
        <v>SFSJS</v>
      </c>
      <c r="L240" t="str">
        <f>"RISQS"</f>
        <v>RISQS</v>
      </c>
      <c r="M240">
        <v>123</v>
      </c>
      <c r="O240" t="str">
        <f t="shared" ref="O240:O254" si="75">"次"</f>
        <v>次</v>
      </c>
      <c r="P240" t="str">
        <f t="shared" si="65"/>
        <v>治疗费</v>
      </c>
    </row>
    <row r="241" spans="1:16">
      <c r="A241" t="str">
        <f>"手法松解术-儿童（加收）"</f>
        <v>手法松解术-儿童（加收）</v>
      </c>
      <c r="B241" t="str">
        <f>"014300000080001"</f>
        <v>014300000080001</v>
      </c>
      <c r="C241" t="str">
        <f t="shared" si="64"/>
        <v>治疗</v>
      </c>
      <c r="G241">
        <v>42</v>
      </c>
      <c r="I241" t="str">
        <f t="shared" si="67"/>
        <v>次</v>
      </c>
      <c r="K241" t="str">
        <f>"SFSJSETJS"</f>
        <v>SFSJSETJS</v>
      </c>
      <c r="L241" t="str">
        <f>"RISQSQULN"</f>
        <v>RISQSQULN</v>
      </c>
      <c r="M241">
        <v>140</v>
      </c>
      <c r="O241" t="str">
        <f t="shared" si="75"/>
        <v>次</v>
      </c>
      <c r="P241" t="str">
        <f t="shared" si="65"/>
        <v>治疗费</v>
      </c>
    </row>
    <row r="242" spans="1:16">
      <c r="A242" t="str">
        <f>"悬空灸"</f>
        <v>悬空灸</v>
      </c>
      <c r="B242" t="str">
        <f>"014400000010000"</f>
        <v>014400000010000</v>
      </c>
      <c r="C242" t="str">
        <f t="shared" si="64"/>
        <v>治疗</v>
      </c>
      <c r="G242">
        <v>51</v>
      </c>
      <c r="I242" t="str">
        <f t="shared" si="67"/>
        <v>次</v>
      </c>
      <c r="K242" t="str">
        <f>"XKJ"</f>
        <v>XKJ</v>
      </c>
      <c r="L242" t="str">
        <f>"EPQ"</f>
        <v>EPQ</v>
      </c>
      <c r="M242">
        <v>51</v>
      </c>
      <c r="N242" t="str">
        <f>"014400000010000"</f>
        <v>014400000010000</v>
      </c>
      <c r="O242" t="str">
        <f t="shared" si="75"/>
        <v>次</v>
      </c>
      <c r="P242" t="str">
        <f t="shared" si="65"/>
        <v>治疗费</v>
      </c>
    </row>
    <row r="243" spans="1:16">
      <c r="A243" t="str">
        <f>"直接灸"</f>
        <v>直接灸</v>
      </c>
      <c r="B243" t="str">
        <f>"014400000020000"</f>
        <v>014400000020000</v>
      </c>
      <c r="C243" t="str">
        <f t="shared" si="64"/>
        <v>治疗</v>
      </c>
      <c r="G243">
        <v>26</v>
      </c>
      <c r="I243" t="str">
        <f t="shared" si="67"/>
        <v>次</v>
      </c>
      <c r="K243" t="str">
        <f>"ZJJ"</f>
        <v>ZJJ</v>
      </c>
      <c r="L243" t="str">
        <f>"FRQ"</f>
        <v>FRQ</v>
      </c>
      <c r="M243">
        <v>26</v>
      </c>
      <c r="N243" t="str">
        <f>"014400000020000"</f>
        <v>014400000020000</v>
      </c>
      <c r="O243" t="str">
        <f t="shared" si="75"/>
        <v>次</v>
      </c>
      <c r="P243" t="str">
        <f t="shared" si="65"/>
        <v>治疗费</v>
      </c>
    </row>
    <row r="244" spans="1:16">
      <c r="A244" t="str">
        <f>"隔物灸"</f>
        <v>隔物灸</v>
      </c>
      <c r="B244" t="str">
        <f>"014400000030000"</f>
        <v>014400000030000</v>
      </c>
      <c r="C244" t="str">
        <f t="shared" si="64"/>
        <v>治疗</v>
      </c>
      <c r="G244">
        <v>24</v>
      </c>
      <c r="I244" t="str">
        <f t="shared" si="67"/>
        <v>次</v>
      </c>
      <c r="K244" t="str">
        <f>"GWJ"</f>
        <v>GWJ</v>
      </c>
      <c r="L244" t="str">
        <f>"BTQ"</f>
        <v>BTQ</v>
      </c>
      <c r="M244">
        <v>24</v>
      </c>
      <c r="N244" t="str">
        <f>"014400000030000"</f>
        <v>014400000030000</v>
      </c>
      <c r="O244" t="str">
        <f t="shared" si="75"/>
        <v>次</v>
      </c>
      <c r="P244" t="str">
        <f t="shared" si="65"/>
        <v>治疗费</v>
      </c>
    </row>
    <row r="245" spans="1:16">
      <c r="A245" t="str">
        <f>"铺灸"</f>
        <v>铺灸</v>
      </c>
      <c r="B245" t="str">
        <f>"014400000040000"</f>
        <v>014400000040000</v>
      </c>
      <c r="C245" t="str">
        <f t="shared" si="64"/>
        <v>治疗</v>
      </c>
      <c r="G245">
        <v>120</v>
      </c>
      <c r="I245" t="str">
        <f t="shared" si="67"/>
        <v>次</v>
      </c>
      <c r="K245" t="str">
        <f>"PJ"</f>
        <v>PJ</v>
      </c>
      <c r="L245" t="str">
        <f>"QQ"</f>
        <v>QQ</v>
      </c>
      <c r="M245">
        <v>120</v>
      </c>
      <c r="N245" t="str">
        <f>"014400000040000"</f>
        <v>014400000040000</v>
      </c>
      <c r="O245" t="str">
        <f t="shared" si="75"/>
        <v>次</v>
      </c>
      <c r="P245" t="str">
        <f t="shared" si="65"/>
        <v>治疗费</v>
      </c>
    </row>
    <row r="246" spans="1:16">
      <c r="A246" t="str">
        <f>"中医拔罐"</f>
        <v>中医拔罐</v>
      </c>
      <c r="B246" t="str">
        <f>"014400000050000"</f>
        <v>014400000050000</v>
      </c>
      <c r="C246" t="str">
        <f t="shared" si="64"/>
        <v>治疗</v>
      </c>
      <c r="G246">
        <v>42</v>
      </c>
      <c r="I246" t="str">
        <f t="shared" si="67"/>
        <v>次</v>
      </c>
      <c r="K246" t="str">
        <f>"ZYBG"</f>
        <v>ZYBG</v>
      </c>
      <c r="L246" t="str">
        <f>"KARR"</f>
        <v>KARR</v>
      </c>
      <c r="M246">
        <v>42</v>
      </c>
      <c r="N246" t="str">
        <f>"014400000050000"</f>
        <v>014400000050000</v>
      </c>
      <c r="O246" t="str">
        <f t="shared" si="75"/>
        <v>次</v>
      </c>
      <c r="P246" t="str">
        <f t="shared" si="65"/>
        <v>治疗费</v>
      </c>
    </row>
    <row r="247" spans="1:16">
      <c r="A247" t="str">
        <f>"中医拔罐-药物罐（加收）"</f>
        <v>中医拔罐-药物罐（加收）</v>
      </c>
      <c r="B247" t="str">
        <f>"014400000050001"</f>
        <v>014400000050001</v>
      </c>
      <c r="C247" t="str">
        <f t="shared" si="64"/>
        <v>治疗</v>
      </c>
      <c r="G247">
        <v>4.2</v>
      </c>
      <c r="I247" t="str">
        <f t="shared" si="67"/>
        <v>次</v>
      </c>
      <c r="K247" t="str">
        <f>"ZYBGYWGJS"</f>
        <v>ZYBGYWGJS</v>
      </c>
      <c r="L247" t="str">
        <f>"KARRATRLN"</f>
        <v>KARRATRLN</v>
      </c>
      <c r="M247">
        <v>4.2</v>
      </c>
      <c r="N247" t="str">
        <f>"014400000050001"</f>
        <v>014400000050001</v>
      </c>
      <c r="O247" t="str">
        <f t="shared" si="75"/>
        <v>次</v>
      </c>
      <c r="P247" t="str">
        <f t="shared" si="65"/>
        <v>治疗费</v>
      </c>
    </row>
    <row r="248" spans="1:16">
      <c r="A248" t="str">
        <f>"中医走罐"</f>
        <v>中医走罐</v>
      </c>
      <c r="B248" t="str">
        <f>"014400000060000"</f>
        <v>014400000060000</v>
      </c>
      <c r="C248" t="str">
        <f t="shared" si="64"/>
        <v>治疗</v>
      </c>
      <c r="G248">
        <v>52</v>
      </c>
      <c r="I248" t="str">
        <f t="shared" si="67"/>
        <v>次</v>
      </c>
      <c r="K248" t="str">
        <f>"ZYZG"</f>
        <v>ZYZG</v>
      </c>
      <c r="L248" t="str">
        <f>"KAFR"</f>
        <v>KAFR</v>
      </c>
      <c r="M248">
        <v>52</v>
      </c>
      <c r="N248" t="str">
        <f>"014400000060000"</f>
        <v>014400000060000</v>
      </c>
      <c r="O248" t="str">
        <f t="shared" si="75"/>
        <v>次</v>
      </c>
      <c r="P248" t="str">
        <f t="shared" si="65"/>
        <v>治疗费</v>
      </c>
    </row>
    <row r="249" spans="1:16">
      <c r="A249" t="str">
        <f>"中医闪罐"</f>
        <v>中医闪罐</v>
      </c>
      <c r="B249" t="str">
        <f>"014400000070000"</f>
        <v>014400000070000</v>
      </c>
      <c r="C249" t="str">
        <f t="shared" si="64"/>
        <v>治疗</v>
      </c>
      <c r="G249">
        <v>63</v>
      </c>
      <c r="I249" t="str">
        <f t="shared" si="67"/>
        <v>次</v>
      </c>
      <c r="K249" t="str">
        <f>"ZYSG"</f>
        <v>ZYSG</v>
      </c>
      <c r="L249" t="str">
        <f>"KAUR"</f>
        <v>KAUR</v>
      </c>
      <c r="M249">
        <v>63</v>
      </c>
      <c r="N249" t="str">
        <f>"014400000070000"</f>
        <v>014400000070000</v>
      </c>
      <c r="O249" t="str">
        <f t="shared" si="75"/>
        <v>次</v>
      </c>
      <c r="P249" t="str">
        <f t="shared" si="65"/>
        <v>治疗费</v>
      </c>
    </row>
    <row r="250" spans="1:16">
      <c r="A250" t="str">
        <f>"头面部疾病推拿"</f>
        <v>头面部疾病推拿</v>
      </c>
      <c r="B250" t="str">
        <f>"014500000010000"</f>
        <v>014500000010000</v>
      </c>
      <c r="C250" t="str">
        <f t="shared" si="64"/>
        <v>治疗</v>
      </c>
      <c r="G250">
        <v>55</v>
      </c>
      <c r="I250" t="str">
        <f t="shared" si="67"/>
        <v>次</v>
      </c>
      <c r="K250" t="str">
        <f>"TMBJBTN"</f>
        <v>TMBJBTN</v>
      </c>
      <c r="L250" t="str">
        <f>"UDUUURW"</f>
        <v>UDUUURW</v>
      </c>
      <c r="M250">
        <v>55</v>
      </c>
      <c r="N250" t="str">
        <f>"014500000010000"</f>
        <v>014500000010000</v>
      </c>
      <c r="O250" t="str">
        <f t="shared" si="75"/>
        <v>次</v>
      </c>
      <c r="P250" t="str">
        <f t="shared" si="65"/>
        <v>治疗费</v>
      </c>
    </row>
    <row r="251" spans="1:16">
      <c r="A251" t="str">
        <f>"头面部疾病推拿(6周岁及以下儿童加收)"</f>
        <v>头面部疾病推拿(6周岁及以下儿童加收)</v>
      </c>
      <c r="B251" t="str">
        <f>"014500000010000-1"</f>
        <v>014500000010000-1</v>
      </c>
      <c r="C251" t="str">
        <f t="shared" si="64"/>
        <v>治疗</v>
      </c>
      <c r="G251">
        <v>16.5</v>
      </c>
      <c r="I251" t="str">
        <f t="shared" si="67"/>
        <v>次</v>
      </c>
      <c r="K251" t="str">
        <f>"TMBJBTN6ZSJYXETJ"</f>
        <v>TMBJBTN6ZSJYXETJ</v>
      </c>
      <c r="L251" t="str">
        <f>"UDUUURW6MMECGQUL"</f>
        <v>UDUUURW6MMECGQUL</v>
      </c>
      <c r="M251">
        <v>16.5</v>
      </c>
      <c r="O251" t="str">
        <f t="shared" si="75"/>
        <v>次</v>
      </c>
      <c r="P251" t="str">
        <f t="shared" si="65"/>
        <v>治疗费</v>
      </c>
    </row>
    <row r="252" spans="1:16">
      <c r="A252" t="str">
        <f>"颈部疾病推拿"</f>
        <v>颈部疾病推拿</v>
      </c>
      <c r="B252" t="str">
        <f>"014500000020000"</f>
        <v>014500000020000</v>
      </c>
      <c r="C252" t="str">
        <f t="shared" si="64"/>
        <v>治疗</v>
      </c>
      <c r="D252" t="str">
        <f>"014500000020000"</f>
        <v>014500000020000</v>
      </c>
      <c r="G252">
        <v>54</v>
      </c>
      <c r="I252" t="str">
        <f t="shared" si="67"/>
        <v>次</v>
      </c>
      <c r="K252" t="str">
        <f>"JBJBTN"</f>
        <v>JBJBTN</v>
      </c>
      <c r="L252" t="str">
        <f>"CUUURW"</f>
        <v>CUUURW</v>
      </c>
      <c r="M252">
        <v>54</v>
      </c>
      <c r="N252" t="str">
        <f>"014500000020000"</f>
        <v>014500000020000</v>
      </c>
      <c r="O252" t="str">
        <f t="shared" si="75"/>
        <v>次</v>
      </c>
      <c r="P252" t="str">
        <f t="shared" si="65"/>
        <v>治疗费</v>
      </c>
    </row>
    <row r="253" spans="1:16">
      <c r="A253" t="str">
        <f>"脊柱部位疾病推拿"</f>
        <v>脊柱部位疾病推拿</v>
      </c>
      <c r="B253" t="str">
        <f>"014500000030000"</f>
        <v>014500000030000</v>
      </c>
      <c r="C253" t="str">
        <f t="shared" si="64"/>
        <v>治疗</v>
      </c>
      <c r="G253">
        <v>42</v>
      </c>
      <c r="I253" t="str">
        <f t="shared" si="67"/>
        <v>次</v>
      </c>
      <c r="K253" t="str">
        <f>"JZBWJBTN"</f>
        <v>JZBWJBTN</v>
      </c>
      <c r="L253" t="str">
        <f>"ISUWUURW"</f>
        <v>ISUWUURW</v>
      </c>
      <c r="M253">
        <v>42</v>
      </c>
      <c r="N253" t="str">
        <f>"014500000030000"</f>
        <v>014500000030000</v>
      </c>
      <c r="O253" t="str">
        <f t="shared" si="75"/>
        <v>次</v>
      </c>
      <c r="P253" t="str">
        <f t="shared" si="65"/>
        <v>治疗费</v>
      </c>
    </row>
    <row r="254" spans="1:16">
      <c r="A254" t="str">
        <f>"脊柱部位疾病推按-寰枢关节推拿（加收）"</f>
        <v>脊柱部位疾病推按-寰枢关节推拿（加收）</v>
      </c>
      <c r="B254" t="str">
        <f>"014500000030001"</f>
        <v>014500000030001</v>
      </c>
      <c r="C254" t="str">
        <f t="shared" si="64"/>
        <v>治疗</v>
      </c>
      <c r="G254">
        <v>12.6</v>
      </c>
      <c r="I254" t="str">
        <f t="shared" si="67"/>
        <v>次</v>
      </c>
      <c r="K254" t="str">
        <f>"JZBWJBTASGJTNJS"</f>
        <v>JZBWJBTASGJTNJS</v>
      </c>
      <c r="L254" t="str">
        <f>"ISUWUURRPSUARWLN"</f>
        <v>ISUWUURRPSUARWLN</v>
      </c>
      <c r="M254">
        <v>12.6</v>
      </c>
      <c r="N254" t="str">
        <f>"014500000030001"</f>
        <v>014500000030001</v>
      </c>
      <c r="O254" t="str">
        <f t="shared" si="75"/>
        <v>次</v>
      </c>
      <c r="P254" t="str">
        <f t="shared" si="65"/>
        <v>治疗费</v>
      </c>
    </row>
    <row r="255" spans="1:16">
      <c r="A255" t="str">
        <f>"肩部疾病推拿"</f>
        <v>肩部疾病推拿</v>
      </c>
      <c r="B255" t="str">
        <f>"014500000040000"</f>
        <v>014500000040000</v>
      </c>
      <c r="C255" t="str">
        <f t="shared" si="64"/>
        <v>治疗</v>
      </c>
      <c r="G255">
        <v>42</v>
      </c>
      <c r="I255" t="str">
        <f t="shared" si="67"/>
        <v>次</v>
      </c>
      <c r="K255" t="str">
        <f>"JBJBTN"</f>
        <v>JBJBTN</v>
      </c>
      <c r="L255" t="str">
        <f>"YUUURW"</f>
        <v>YUUURW</v>
      </c>
      <c r="M255">
        <v>42</v>
      </c>
      <c r="N255" t="str">
        <f>"014500000040000"</f>
        <v>014500000040000</v>
      </c>
      <c r="O255" t="str">
        <f>"单侧"</f>
        <v>单侧</v>
      </c>
      <c r="P255" t="str">
        <f t="shared" si="65"/>
        <v>治疗费</v>
      </c>
    </row>
    <row r="256" spans="1:16">
      <c r="A256" t="str">
        <f>"背部疾病推拿"</f>
        <v>背部疾病推拿</v>
      </c>
      <c r="B256" t="str">
        <f>"014500000050000"</f>
        <v>014500000050000</v>
      </c>
      <c r="C256" t="str">
        <f t="shared" ref="C256:C264" si="76">"治疗"</f>
        <v>治疗</v>
      </c>
      <c r="G256">
        <v>91</v>
      </c>
      <c r="I256" t="str">
        <f t="shared" ref="I256:I264" si="77">"次"</f>
        <v>次</v>
      </c>
      <c r="K256" t="str">
        <f>"BBJBTN"</f>
        <v>BBJBTN</v>
      </c>
      <c r="L256" t="str">
        <f>"UUUURW"</f>
        <v>UUUURW</v>
      </c>
      <c r="M256">
        <v>91</v>
      </c>
      <c r="N256" t="str">
        <f>"014500000050000"</f>
        <v>014500000050000</v>
      </c>
      <c r="O256" t="str">
        <f t="shared" ref="O256:O258" si="78">"次"</f>
        <v>次</v>
      </c>
      <c r="P256" t="str">
        <f t="shared" ref="P256:P264" si="79">"治疗费"</f>
        <v>治疗费</v>
      </c>
    </row>
    <row r="257" spans="1:16">
      <c r="A257" t="str">
        <f>"腰部疾病推拿"</f>
        <v>腰部疾病推拿</v>
      </c>
      <c r="B257" t="str">
        <f>"014500000060000"</f>
        <v>014500000060000</v>
      </c>
      <c r="C257" t="str">
        <f t="shared" si="76"/>
        <v>治疗</v>
      </c>
      <c r="G257">
        <v>81</v>
      </c>
      <c r="I257" t="str">
        <f t="shared" si="77"/>
        <v>次</v>
      </c>
      <c r="K257" t="str">
        <f>"YBJBTN"</f>
        <v>YBJBTN</v>
      </c>
      <c r="L257" t="str">
        <f>"EUUURW"</f>
        <v>EUUURW</v>
      </c>
      <c r="M257">
        <v>81</v>
      </c>
      <c r="N257" t="str">
        <f>"014500000060000"</f>
        <v>014500000060000</v>
      </c>
      <c r="O257" t="str">
        <f t="shared" si="78"/>
        <v>次</v>
      </c>
      <c r="P257" t="str">
        <f t="shared" si="79"/>
        <v>治疗费</v>
      </c>
    </row>
    <row r="258" spans="1:16">
      <c r="A258" t="str">
        <f>"髋骶部疾病推拿"</f>
        <v>髋骶部疾病推拿</v>
      </c>
      <c r="B258" t="str">
        <f>"014500000070000"</f>
        <v>014500000070000</v>
      </c>
      <c r="C258" t="str">
        <f t="shared" si="76"/>
        <v>治疗</v>
      </c>
      <c r="G258">
        <v>81</v>
      </c>
      <c r="I258" t="str">
        <f t="shared" si="77"/>
        <v>次</v>
      </c>
      <c r="K258" t="str">
        <f>"BJBTN"</f>
        <v>BJBTN</v>
      </c>
      <c r="L258" t="str">
        <f>"MMUUURW"</f>
        <v>MMUUURW</v>
      </c>
      <c r="M258">
        <v>81</v>
      </c>
      <c r="N258" t="str">
        <f>"014500000060000"</f>
        <v>014500000060000</v>
      </c>
      <c r="O258" t="str">
        <f t="shared" si="78"/>
        <v>次</v>
      </c>
      <c r="P258" t="str">
        <f t="shared" si="79"/>
        <v>治疗费</v>
      </c>
    </row>
    <row r="259" spans="1:16">
      <c r="A259" t="str">
        <f>"四肢部位疾病推拿"</f>
        <v>四肢部位疾病推拿</v>
      </c>
      <c r="B259" t="str">
        <f>"014500000080000"</f>
        <v>014500000080000</v>
      </c>
      <c r="C259" t="str">
        <f t="shared" si="76"/>
        <v>治疗</v>
      </c>
      <c r="G259">
        <v>42</v>
      </c>
      <c r="I259" t="str">
        <f t="shared" si="77"/>
        <v>次</v>
      </c>
      <c r="K259" t="str">
        <f>"SZBWJBTN"</f>
        <v>SZBWJBTN</v>
      </c>
      <c r="L259" t="str">
        <f>"LEUWUURW"</f>
        <v>LEUWUURW</v>
      </c>
      <c r="M259">
        <v>42</v>
      </c>
      <c r="N259" t="str">
        <f>"014500000080000"</f>
        <v>014500000080000</v>
      </c>
      <c r="O259" t="str">
        <f>"单肢"</f>
        <v>单肢</v>
      </c>
      <c r="P259" t="str">
        <f t="shared" si="79"/>
        <v>治疗费</v>
      </c>
    </row>
    <row r="260" spans="1:16">
      <c r="A260" t="str">
        <f>"脏腑疾病推拿"</f>
        <v>脏腑疾病推拿</v>
      </c>
      <c r="B260" t="str">
        <f>"014500000090000"</f>
        <v>014500000090000</v>
      </c>
      <c r="C260" t="str">
        <f t="shared" si="76"/>
        <v>治疗</v>
      </c>
      <c r="G260">
        <v>49</v>
      </c>
      <c r="I260" t="str">
        <f t="shared" si="77"/>
        <v>次</v>
      </c>
      <c r="K260" t="str">
        <f>"ZFJBTN"</f>
        <v>ZFJBTN</v>
      </c>
      <c r="L260" t="str">
        <f>"EEUURW"</f>
        <v>EEUURW</v>
      </c>
      <c r="M260">
        <v>49</v>
      </c>
      <c r="N260" t="str">
        <f>"014500000090000"</f>
        <v>014500000090000</v>
      </c>
      <c r="O260" t="str">
        <f t="shared" ref="O260:O265" si="80">"次"</f>
        <v>次</v>
      </c>
      <c r="P260" t="str">
        <f t="shared" si="79"/>
        <v>治疗费</v>
      </c>
    </row>
    <row r="261" spans="1:16">
      <c r="A261" t="str">
        <f>"脏腑疾病推拿(6周岁及以下儿童加收)"</f>
        <v>脏腑疾病推拿(6周岁及以下儿童加收)</v>
      </c>
      <c r="B261" t="str">
        <f>"014500000090000-1"</f>
        <v>014500000090000-1</v>
      </c>
      <c r="C261" t="str">
        <f t="shared" si="76"/>
        <v>治疗</v>
      </c>
      <c r="G261">
        <v>14.7</v>
      </c>
      <c r="I261" t="str">
        <f t="shared" si="77"/>
        <v>次</v>
      </c>
      <c r="K261" t="str">
        <f>"ZFJBTN6ZSJYXETJS"</f>
        <v>ZFJBTN6ZSJYXETJS</v>
      </c>
      <c r="L261" t="str">
        <f>"EEUURW6MMECGQULN"</f>
        <v>EEUURW6MMECGQULN</v>
      </c>
      <c r="M261">
        <v>14.7</v>
      </c>
      <c r="O261" t="str">
        <f t="shared" si="80"/>
        <v>次</v>
      </c>
      <c r="P261" t="str">
        <f t="shared" si="79"/>
        <v>治疗费</v>
      </c>
    </row>
    <row r="262" spans="1:16">
      <c r="A262" t="str">
        <f>"乳房疾病推拿"</f>
        <v>乳房疾病推拿</v>
      </c>
      <c r="B262" t="str">
        <f>"014500000100000"</f>
        <v>014500000100000</v>
      </c>
      <c r="C262" t="str">
        <f t="shared" si="76"/>
        <v>治疗</v>
      </c>
      <c r="G262">
        <v>81</v>
      </c>
      <c r="I262" t="str">
        <f t="shared" si="77"/>
        <v>次</v>
      </c>
      <c r="K262" t="str">
        <f>"RFJBTN"</f>
        <v>RFJBTN</v>
      </c>
      <c r="L262" t="str">
        <f>"EYUURW"</f>
        <v>EYUURW</v>
      </c>
      <c r="M262">
        <v>81</v>
      </c>
      <c r="N262" t="str">
        <f>"014500000100000"</f>
        <v>014500000100000</v>
      </c>
      <c r="O262" t="str">
        <f>"单侧"</f>
        <v>单侧</v>
      </c>
      <c r="P262" t="str">
        <f t="shared" si="79"/>
        <v>治疗费</v>
      </c>
    </row>
    <row r="263" spans="1:16">
      <c r="A263" t="str">
        <f>"中枢神经系统疾病推拿"</f>
        <v>中枢神经系统疾病推拿</v>
      </c>
      <c r="B263" t="str">
        <f>"014500000110000"</f>
        <v>014500000110000</v>
      </c>
      <c r="C263" t="str">
        <f t="shared" si="76"/>
        <v>治疗</v>
      </c>
      <c r="G263">
        <v>55</v>
      </c>
      <c r="I263" t="str">
        <f t="shared" si="77"/>
        <v>次</v>
      </c>
      <c r="K263" t="str">
        <f>"ZSSJXTJBTN"</f>
        <v>ZSSJXTJBTN</v>
      </c>
      <c r="L263" t="str">
        <f>"KSPXTXUURW"</f>
        <v>KSPXTXUURW</v>
      </c>
      <c r="M263">
        <v>55</v>
      </c>
      <c r="N263" t="str">
        <f>"014500000110000"</f>
        <v>014500000110000</v>
      </c>
      <c r="O263" t="str">
        <f t="shared" si="80"/>
        <v>次</v>
      </c>
      <c r="P263" t="str">
        <f t="shared" si="79"/>
        <v>治疗费</v>
      </c>
    </row>
    <row r="264" spans="1:16">
      <c r="A264" t="str">
        <f>"点穴疗法"</f>
        <v>点穴疗法</v>
      </c>
      <c r="B264" t="str">
        <f>"014600000020000"</f>
        <v>014600000020000</v>
      </c>
      <c r="C264" t="str">
        <f t="shared" si="76"/>
        <v>治疗</v>
      </c>
      <c r="G264">
        <v>20</v>
      </c>
      <c r="I264" t="str">
        <f t="shared" si="77"/>
        <v>次</v>
      </c>
      <c r="K264" t="str">
        <f>"DXLF"</f>
        <v>DXLF</v>
      </c>
      <c r="L264" t="str">
        <f>"HPUI"</f>
        <v>HPUI</v>
      </c>
      <c r="M264">
        <v>22</v>
      </c>
      <c r="O264" t="str">
        <f t="shared" si="80"/>
        <v>次</v>
      </c>
      <c r="P264" t="str">
        <f t="shared" si="79"/>
        <v>治疗费</v>
      </c>
    </row>
    <row r="265" spans="1:16">
      <c r="A265" t="str">
        <f>"运动功能检查"</f>
        <v>运动功能检查</v>
      </c>
      <c r="B265" t="str">
        <f>"015100000040000"</f>
        <v>015100000040000</v>
      </c>
      <c r="C265" t="str">
        <f>"检查"</f>
        <v>检查</v>
      </c>
      <c r="G265">
        <v>52</v>
      </c>
      <c r="K265" t="str">
        <f>"YDGNJC"</f>
        <v>YDGNJC</v>
      </c>
      <c r="L265" t="str">
        <f>"FFACSS"</f>
        <v>FFACSS</v>
      </c>
      <c r="M265">
        <v>52</v>
      </c>
      <c r="O265" t="str">
        <f t="shared" si="80"/>
        <v>次</v>
      </c>
      <c r="P265" t="str">
        <f>"检查费"</f>
        <v>检查费</v>
      </c>
    </row>
    <row r="266" spans="1:16">
      <c r="A266" t="str">
        <f>"住院诊查费"</f>
        <v>住院诊查费</v>
      </c>
      <c r="B266">
        <v>110200005</v>
      </c>
      <c r="C266" t="str">
        <f t="shared" ref="C266:C286" si="81">"其他"</f>
        <v>其他</v>
      </c>
      <c r="D266" t="str">
        <f>"001102000050000"</f>
        <v>001102000050000</v>
      </c>
      <c r="G266">
        <v>15</v>
      </c>
      <c r="I266" t="str">
        <f>"日"</f>
        <v>日</v>
      </c>
      <c r="K266" t="str">
        <f>"ZYZCF"</f>
        <v>ZYZCF</v>
      </c>
      <c r="L266" t="str">
        <f>"WBYSX"</f>
        <v>WBYSX</v>
      </c>
      <c r="M266">
        <v>15</v>
      </c>
      <c r="N266">
        <v>110200005</v>
      </c>
      <c r="O266" t="str">
        <f>"日"</f>
        <v>日</v>
      </c>
      <c r="P266" t="str">
        <f>"诊查费"</f>
        <v>诊查费</v>
      </c>
    </row>
    <row r="267" spans="1:16">
      <c r="A267" t="str">
        <f>"方便门诊费"</f>
        <v>方便门诊费</v>
      </c>
      <c r="B267">
        <v>110200008</v>
      </c>
      <c r="C267" t="str">
        <f t="shared" si="81"/>
        <v>其他</v>
      </c>
      <c r="D267" t="str">
        <f>"001102000010400"</f>
        <v>001102000010400</v>
      </c>
      <c r="G267" t="str">
        <f>"0.5"</f>
        <v>0.5</v>
      </c>
      <c r="I267" t="str">
        <f t="shared" ref="I267:I273" si="82">"次"</f>
        <v>次</v>
      </c>
      <c r="K267" t="str">
        <f>"FBMZF"</f>
        <v>FBMZF</v>
      </c>
      <c r="L267" t="str">
        <f>"YWUYX"</f>
        <v>YWUYX</v>
      </c>
      <c r="M267">
        <v>1</v>
      </c>
      <c r="N267">
        <v>110200008</v>
      </c>
      <c r="O267" t="str">
        <f>"每次"</f>
        <v>每次</v>
      </c>
      <c r="P267" t="str">
        <f>"诊查费"</f>
        <v>诊查费</v>
      </c>
    </row>
    <row r="268" spans="1:16">
      <c r="A268" t="str">
        <f>"急诊监护费"</f>
        <v>急诊监护费</v>
      </c>
      <c r="B268">
        <v>110300001</v>
      </c>
      <c r="C268" t="str">
        <f t="shared" si="81"/>
        <v>其他</v>
      </c>
      <c r="D268" t="str">
        <f>"001103000010000"</f>
        <v>001103000010000</v>
      </c>
      <c r="G268">
        <v>130</v>
      </c>
      <c r="I268" t="str">
        <f>"日"</f>
        <v>日</v>
      </c>
      <c r="K268" t="str">
        <f>"JZJHF"</f>
        <v>JZJHF</v>
      </c>
      <c r="L268" t="str">
        <f>"QYJRX"</f>
        <v>QYJRX</v>
      </c>
      <c r="M268">
        <v>130</v>
      </c>
      <c r="N268">
        <v>110300001</v>
      </c>
      <c r="O268" t="str">
        <f>"日"</f>
        <v>日</v>
      </c>
      <c r="P268" t="str">
        <f>"监护费"</f>
        <v>监护费</v>
      </c>
    </row>
    <row r="269" spans="1:16">
      <c r="A269" t="str">
        <f>"院前急救费"</f>
        <v>院前急救费</v>
      </c>
      <c r="B269">
        <v>110400001</v>
      </c>
      <c r="C269" t="str">
        <f t="shared" si="81"/>
        <v>其他</v>
      </c>
      <c r="D269" t="str">
        <f>"001104000010000"</f>
        <v>001104000010000</v>
      </c>
      <c r="G269">
        <v>46</v>
      </c>
      <c r="I269" t="str">
        <f t="shared" si="82"/>
        <v>次</v>
      </c>
      <c r="K269" t="str">
        <f>"YQJJF"</f>
        <v>YQJJF</v>
      </c>
      <c r="L269" t="str">
        <f>"BUQFX"</f>
        <v>BUQFX</v>
      </c>
      <c r="M269">
        <v>46</v>
      </c>
      <c r="N269">
        <v>110400001</v>
      </c>
      <c r="O269" t="str">
        <f t="shared" ref="O269:O272" si="83">"次"</f>
        <v>次</v>
      </c>
      <c r="P269" t="str">
        <f>"治疗费"</f>
        <v>治疗费</v>
      </c>
    </row>
    <row r="270" spans="1:16">
      <c r="A270" t="str">
        <f>"体检费"</f>
        <v>体检费</v>
      </c>
      <c r="B270">
        <v>110500001</v>
      </c>
      <c r="C270" t="str">
        <f t="shared" si="81"/>
        <v>其他</v>
      </c>
      <c r="D270" t="str">
        <f>"001105000010000"</f>
        <v>001105000010000</v>
      </c>
      <c r="G270">
        <v>15</v>
      </c>
      <c r="I270" t="str">
        <f>"项"</f>
        <v>项</v>
      </c>
      <c r="K270" t="str">
        <f>"TJF"</f>
        <v>TJF</v>
      </c>
      <c r="L270" t="str">
        <f>"WSX"</f>
        <v>WSX</v>
      </c>
      <c r="M270">
        <v>15</v>
      </c>
      <c r="N270">
        <v>110500001</v>
      </c>
      <c r="O270" t="str">
        <f>"每次"</f>
        <v>每次</v>
      </c>
      <c r="P270" t="str">
        <f t="shared" ref="P270:P272" si="84">"体检费"</f>
        <v>体检费</v>
      </c>
    </row>
    <row r="271" spans="1:16">
      <c r="A271" t="str">
        <f>"体检"</f>
        <v>体检</v>
      </c>
      <c r="B271" t="str">
        <f>"110500001-1"</f>
        <v>110500001-1</v>
      </c>
      <c r="C271" t="str">
        <f t="shared" si="81"/>
        <v>其他</v>
      </c>
      <c r="G271">
        <v>70</v>
      </c>
      <c r="I271" t="str">
        <f t="shared" si="82"/>
        <v>次</v>
      </c>
      <c r="K271" t="str">
        <f>"TJ"</f>
        <v>TJ</v>
      </c>
      <c r="L271" t="str">
        <f>"WS"</f>
        <v>WS</v>
      </c>
      <c r="M271">
        <v>300</v>
      </c>
      <c r="N271">
        <v>110500001</v>
      </c>
      <c r="O271" t="str">
        <f t="shared" si="83"/>
        <v>次</v>
      </c>
      <c r="P271" t="str">
        <f t="shared" si="84"/>
        <v>体检费</v>
      </c>
    </row>
    <row r="272" spans="1:16">
      <c r="A272" t="str">
        <f>"驾驶员体检"</f>
        <v>驾驶员体检</v>
      </c>
      <c r="B272" t="str">
        <f>"110500001-a"</f>
        <v>110500001-a</v>
      </c>
      <c r="C272" t="str">
        <f t="shared" si="81"/>
        <v>其他</v>
      </c>
      <c r="G272">
        <v>8</v>
      </c>
      <c r="I272" t="str">
        <f t="shared" si="82"/>
        <v>次</v>
      </c>
      <c r="K272" t="str">
        <f>"JSYTJ"</f>
        <v>JSYTJ</v>
      </c>
      <c r="L272" t="str">
        <f>"LCKWS"</f>
        <v>LCKWS</v>
      </c>
      <c r="M272">
        <v>8</v>
      </c>
      <c r="N272" t="str">
        <f>"110500001-a"</f>
        <v>110500001-a</v>
      </c>
      <c r="O272" t="str">
        <f t="shared" si="83"/>
        <v>次</v>
      </c>
      <c r="P272" t="str">
        <f t="shared" si="84"/>
        <v>体检费</v>
      </c>
    </row>
    <row r="273" spans="1:16">
      <c r="A273" t="str">
        <f>"救护车费"</f>
        <v>救护车费</v>
      </c>
      <c r="B273" t="str">
        <f>"110600001-a"</f>
        <v>110600001-a</v>
      </c>
      <c r="C273" t="str">
        <f t="shared" si="81"/>
        <v>其他</v>
      </c>
      <c r="D273" t="str">
        <f>"001106000010000"</f>
        <v>001106000010000</v>
      </c>
      <c r="G273">
        <v>40</v>
      </c>
      <c r="I273" t="str">
        <f t="shared" si="82"/>
        <v>次</v>
      </c>
      <c r="K273" t="str">
        <f>"JHCF"</f>
        <v>JHCF</v>
      </c>
      <c r="L273" t="str">
        <f>"FRLX"</f>
        <v>FRLX</v>
      </c>
      <c r="M273">
        <v>40</v>
      </c>
      <c r="N273" t="str">
        <f>"110600001-a"</f>
        <v>110600001-a</v>
      </c>
      <c r="O273" t="str">
        <f>"公里"</f>
        <v>公里</v>
      </c>
      <c r="P273" t="str">
        <f>"救护车费"</f>
        <v>救护车费</v>
      </c>
    </row>
    <row r="274" spans="1:16">
      <c r="A274" t="str">
        <f>"双人间床位费B"</f>
        <v>双人间床位费B</v>
      </c>
      <c r="B274" t="str">
        <f>"110900001-d"</f>
        <v>110900001-d</v>
      </c>
      <c r="C274" t="str">
        <f t="shared" si="81"/>
        <v>其他</v>
      </c>
      <c r="D274" t="str">
        <f>"001109000010200"</f>
        <v>001109000010200</v>
      </c>
      <c r="G274">
        <v>60</v>
      </c>
      <c r="I274" t="str">
        <f t="shared" ref="I274:I279" si="85">"日"</f>
        <v>日</v>
      </c>
      <c r="K274" t="str">
        <f>"SRJCWFB"</f>
        <v>SRJCWFB</v>
      </c>
      <c r="L274" t="str">
        <f>"CWUYWXB"</f>
        <v>CWUYWXB</v>
      </c>
      <c r="M274">
        <v>85</v>
      </c>
      <c r="N274" t="str">
        <f>"110900001-d"</f>
        <v>110900001-d</v>
      </c>
      <c r="O274" t="str">
        <f t="shared" ref="O274:O279" si="86">"日"</f>
        <v>日</v>
      </c>
      <c r="P274" t="str">
        <f t="shared" ref="P274:P279" si="87">"床位费"</f>
        <v>床位费</v>
      </c>
    </row>
    <row r="275" spans="1:16">
      <c r="A275" t="str">
        <f>"陪护床"</f>
        <v>陪护床</v>
      </c>
      <c r="B275" t="str">
        <f>"110900001-m"</f>
        <v>110900001-m</v>
      </c>
      <c r="C275" t="str">
        <f t="shared" si="81"/>
        <v>其他</v>
      </c>
      <c r="D275" t="str">
        <f>"001109000010000"</f>
        <v>001109000010000</v>
      </c>
      <c r="G275">
        <v>12</v>
      </c>
      <c r="I275" t="str">
        <f>"张"</f>
        <v>张</v>
      </c>
      <c r="K275" t="str">
        <f>"PHC"</f>
        <v>PHC</v>
      </c>
      <c r="L275" t="str">
        <f>"BRY"</f>
        <v>BRY</v>
      </c>
      <c r="M275">
        <v>12</v>
      </c>
      <c r="N275" t="str">
        <f>"110900001-m"</f>
        <v>110900001-m</v>
      </c>
      <c r="O275" t="str">
        <f>"天"</f>
        <v>天</v>
      </c>
      <c r="P275" t="str">
        <f t="shared" si="87"/>
        <v>床位费</v>
      </c>
    </row>
    <row r="276" spans="1:16">
      <c r="A276" t="str">
        <f>"层流病床床位费"</f>
        <v>层流病床床位费</v>
      </c>
      <c r="B276" t="str">
        <f>"110900002-c"</f>
        <v>110900002-c</v>
      </c>
      <c r="C276" t="str">
        <f t="shared" si="81"/>
        <v>其他</v>
      </c>
      <c r="D276" t="str">
        <f>"001109000020000"</f>
        <v>001109000020000</v>
      </c>
      <c r="G276">
        <v>150</v>
      </c>
      <c r="I276" t="str">
        <f t="shared" si="85"/>
        <v>日</v>
      </c>
      <c r="K276" t="str">
        <f>"CLBCCWF"</f>
        <v>CLBCCWF</v>
      </c>
      <c r="L276" t="str">
        <f>"NIUYYWX"</f>
        <v>NIUYYWX</v>
      </c>
      <c r="M276">
        <v>180</v>
      </c>
      <c r="N276" t="str">
        <f>"110900002-c"</f>
        <v>110900002-c</v>
      </c>
      <c r="O276" t="str">
        <f t="shared" si="86"/>
        <v>日</v>
      </c>
      <c r="P276" t="str">
        <f t="shared" si="87"/>
        <v>床位费</v>
      </c>
    </row>
    <row r="277" spans="1:16">
      <c r="A277" t="str">
        <f>"监护病房床位费"</f>
        <v>监护病房床位费</v>
      </c>
      <c r="B277">
        <v>110900003</v>
      </c>
      <c r="C277" t="str">
        <f t="shared" si="81"/>
        <v>其他</v>
      </c>
      <c r="D277" t="str">
        <f>"001109000030000"</f>
        <v>001109000030000</v>
      </c>
      <c r="G277">
        <v>80</v>
      </c>
      <c r="I277" t="str">
        <f t="shared" si="85"/>
        <v>日</v>
      </c>
      <c r="K277" t="str">
        <f>"JHBFCWF"</f>
        <v>JHBFCWF</v>
      </c>
      <c r="L277" t="str">
        <f>"JRUYYWX"</f>
        <v>JRUYYWX</v>
      </c>
      <c r="M277">
        <v>80</v>
      </c>
      <c r="N277">
        <v>110900003</v>
      </c>
      <c r="O277" t="str">
        <f t="shared" si="86"/>
        <v>日</v>
      </c>
      <c r="P277" t="str">
        <f t="shared" si="87"/>
        <v>床位费</v>
      </c>
    </row>
    <row r="278" spans="1:16">
      <c r="A278" t="str">
        <f>"特殊防护病房床位费"</f>
        <v>特殊防护病房床位费</v>
      </c>
      <c r="B278">
        <v>110900004</v>
      </c>
      <c r="C278" t="str">
        <f t="shared" si="81"/>
        <v>其他</v>
      </c>
      <c r="D278" t="str">
        <f>"001109000040000"</f>
        <v>001109000040000</v>
      </c>
      <c r="G278">
        <v>50</v>
      </c>
      <c r="I278" t="str">
        <f t="shared" si="85"/>
        <v>日</v>
      </c>
      <c r="K278" t="str">
        <f>"TSFHBFCWF"</f>
        <v>TSFHBFCWF</v>
      </c>
      <c r="L278" t="str">
        <f>"TGBRUYYWX"</f>
        <v>TGBRUYYWX</v>
      </c>
      <c r="M278">
        <v>100</v>
      </c>
      <c r="N278">
        <v>110900004</v>
      </c>
      <c r="O278" t="str">
        <f t="shared" si="86"/>
        <v>日</v>
      </c>
      <c r="P278" t="str">
        <f t="shared" si="87"/>
        <v>床位费</v>
      </c>
    </row>
    <row r="279" spans="1:16">
      <c r="A279" t="str">
        <f>"急诊观察床位费"</f>
        <v>急诊观察床位费</v>
      </c>
      <c r="B279">
        <v>110900005</v>
      </c>
      <c r="C279" t="str">
        <f t="shared" si="81"/>
        <v>其他</v>
      </c>
      <c r="D279" t="str">
        <f>"001109000050000"</f>
        <v>001109000050000</v>
      </c>
      <c r="G279">
        <v>15</v>
      </c>
      <c r="I279" t="str">
        <f t="shared" si="85"/>
        <v>日</v>
      </c>
      <c r="K279" t="str">
        <f>"JZGCCWF"</f>
        <v>JZGCCWF</v>
      </c>
      <c r="L279" t="str">
        <f>"QYCPYWX"</f>
        <v>QYCPYWX</v>
      </c>
      <c r="M279">
        <v>100</v>
      </c>
      <c r="O279" t="str">
        <f t="shared" si="86"/>
        <v>日</v>
      </c>
      <c r="P279" t="str">
        <f t="shared" si="87"/>
        <v>床位费</v>
      </c>
    </row>
    <row r="280" spans="1:16">
      <c r="A280" t="str">
        <f>"院际会诊费(本地)"</f>
        <v>院际会诊费(本地)</v>
      </c>
      <c r="B280" t="str">
        <f>"111000001-a"</f>
        <v>111000001-a</v>
      </c>
      <c r="C280" t="str">
        <f t="shared" si="81"/>
        <v>其他</v>
      </c>
      <c r="D280" t="str">
        <f>"001110000010100"</f>
        <v>001110000010100</v>
      </c>
      <c r="G280">
        <v>130</v>
      </c>
      <c r="I280" t="str">
        <f>"项"</f>
        <v>项</v>
      </c>
      <c r="K280" t="str">
        <f>"YJHZF(BD)"</f>
        <v>YJHZF(BD)</v>
      </c>
      <c r="L280" t="str">
        <f>"BBWYXSF"</f>
        <v>BBWYXSF</v>
      </c>
      <c r="M280">
        <v>130</v>
      </c>
      <c r="N280" t="str">
        <f>"111000001-a"</f>
        <v>111000001-a</v>
      </c>
      <c r="O280" t="str">
        <f>"次"</f>
        <v>次</v>
      </c>
      <c r="P280" t="str">
        <f t="shared" ref="P280:P282" si="88">"会诊费"</f>
        <v>会诊费</v>
      </c>
    </row>
    <row r="281" spans="1:16">
      <c r="A281" t="str">
        <f>"院际会诊-外埠"</f>
        <v>院际会诊-外埠</v>
      </c>
      <c r="B281" t="str">
        <f>"111000001-b"</f>
        <v>111000001-b</v>
      </c>
      <c r="C281" t="str">
        <f t="shared" si="81"/>
        <v>其他</v>
      </c>
      <c r="D281" t="str">
        <f>"001110000010200"</f>
        <v>001110000010200</v>
      </c>
      <c r="G281">
        <v>260</v>
      </c>
      <c r="I281" t="str">
        <f>"次"</f>
        <v>次</v>
      </c>
      <c r="K281" t="str">
        <f>"YJHZ-WB"</f>
        <v>YJHZ-WB</v>
      </c>
      <c r="L281" t="str">
        <f>"BBWY-QF"</f>
        <v>BBWY-QF</v>
      </c>
      <c r="M281">
        <v>260</v>
      </c>
      <c r="N281" t="str">
        <f>"111000001-b"</f>
        <v>111000001-b</v>
      </c>
      <c r="O281" t="str">
        <f>"次"</f>
        <v>次</v>
      </c>
      <c r="P281" t="str">
        <f t="shared" si="88"/>
        <v>会诊费</v>
      </c>
    </row>
    <row r="282" spans="1:16">
      <c r="A282" t="str">
        <f>"远程会诊"</f>
        <v>远程会诊</v>
      </c>
      <c r="B282">
        <v>111000003</v>
      </c>
      <c r="C282" t="str">
        <f t="shared" si="81"/>
        <v>其他</v>
      </c>
      <c r="D282" t="str">
        <f>"001110000030000"</f>
        <v>001110000030000</v>
      </c>
      <c r="G282">
        <v>195</v>
      </c>
      <c r="I282" t="str">
        <f>"半小时"</f>
        <v>半小时</v>
      </c>
      <c r="K282" t="str">
        <f>"YCHZ"</f>
        <v>YCHZ</v>
      </c>
      <c r="L282" t="str">
        <f>"FTWY"</f>
        <v>FTWY</v>
      </c>
      <c r="M282">
        <v>195</v>
      </c>
      <c r="N282">
        <v>111000003</v>
      </c>
      <c r="O282" t="str">
        <f>"半小时"</f>
        <v>半小时</v>
      </c>
      <c r="P282" t="str">
        <f t="shared" si="88"/>
        <v>会诊费</v>
      </c>
    </row>
    <row r="283" spans="1:16">
      <c r="A283" t="str">
        <f>"吸痰护理"</f>
        <v>吸痰护理</v>
      </c>
      <c r="B283">
        <v>120100011</v>
      </c>
      <c r="C283" t="str">
        <f t="shared" si="81"/>
        <v>其他</v>
      </c>
      <c r="D283" t="str">
        <f>"001201000110000"</f>
        <v>001201000110000</v>
      </c>
      <c r="G283">
        <v>20</v>
      </c>
      <c r="I283" t="str">
        <f t="shared" ref="I283:I286" si="89">"日"</f>
        <v>日</v>
      </c>
      <c r="K283" t="str">
        <f>"XTHL"</f>
        <v>XTHL</v>
      </c>
      <c r="L283" t="str">
        <f>"KURG"</f>
        <v>KURG</v>
      </c>
      <c r="M283">
        <v>20</v>
      </c>
      <c r="N283">
        <v>120100011</v>
      </c>
      <c r="O283" t="str">
        <f t="shared" ref="O283:O286" si="90">"日"</f>
        <v>日</v>
      </c>
      <c r="P283" t="str">
        <f>"一般护理费"</f>
        <v>一般护理费</v>
      </c>
    </row>
    <row r="284" spans="1:16">
      <c r="A284" t="str">
        <f>"大抢救"</f>
        <v>大抢救</v>
      </c>
      <c r="B284">
        <v>120200001</v>
      </c>
      <c r="C284" t="str">
        <f t="shared" si="81"/>
        <v>其他</v>
      </c>
      <c r="D284" t="str">
        <f>"001202000010000"</f>
        <v>001202000010000</v>
      </c>
      <c r="G284">
        <v>130</v>
      </c>
      <c r="I284" t="str">
        <f t="shared" si="89"/>
        <v>日</v>
      </c>
      <c r="K284" t="str">
        <f>"DQJ"</f>
        <v>DQJ</v>
      </c>
      <c r="L284" t="str">
        <f>"DRF"</f>
        <v>DRF</v>
      </c>
      <c r="M284">
        <v>130</v>
      </c>
      <c r="N284">
        <v>120200001</v>
      </c>
      <c r="O284" t="str">
        <f t="shared" si="90"/>
        <v>日</v>
      </c>
      <c r="P284" t="str">
        <f t="shared" ref="P284:P286" si="91">"治疗费"</f>
        <v>治疗费</v>
      </c>
    </row>
    <row r="285" spans="1:16">
      <c r="A285" t="str">
        <f>"中抢救"</f>
        <v>中抢救</v>
      </c>
      <c r="B285">
        <v>120200002</v>
      </c>
      <c r="C285" t="str">
        <f t="shared" si="81"/>
        <v>其他</v>
      </c>
      <c r="D285" t="str">
        <f>"001202000020000"</f>
        <v>001202000020000</v>
      </c>
      <c r="G285">
        <v>65</v>
      </c>
      <c r="I285" t="str">
        <f t="shared" si="89"/>
        <v>日</v>
      </c>
      <c r="K285" t="str">
        <f>"ZQJ"</f>
        <v>ZQJ</v>
      </c>
      <c r="L285" t="str">
        <f>"KRF"</f>
        <v>KRF</v>
      </c>
      <c r="M285">
        <v>65</v>
      </c>
      <c r="N285">
        <v>120200002</v>
      </c>
      <c r="O285" t="str">
        <f t="shared" si="90"/>
        <v>日</v>
      </c>
      <c r="P285" t="str">
        <f t="shared" si="91"/>
        <v>治疗费</v>
      </c>
    </row>
    <row r="286" spans="1:16">
      <c r="A286" t="str">
        <f>"小抢救"</f>
        <v>小抢救</v>
      </c>
      <c r="B286">
        <v>120200003</v>
      </c>
      <c r="C286" t="str">
        <f t="shared" si="81"/>
        <v>其他</v>
      </c>
      <c r="D286" t="str">
        <f>"001202000030000"</f>
        <v>001202000030000</v>
      </c>
      <c r="G286">
        <v>39</v>
      </c>
      <c r="I286" t="str">
        <f t="shared" si="89"/>
        <v>日</v>
      </c>
      <c r="K286" t="str">
        <f>"XQJ"</f>
        <v>XQJ</v>
      </c>
      <c r="L286" t="str">
        <f>"IRF"</f>
        <v>IRF</v>
      </c>
      <c r="M286">
        <v>39</v>
      </c>
      <c r="N286">
        <v>120200003</v>
      </c>
      <c r="O286" t="str">
        <f t="shared" si="90"/>
        <v>日</v>
      </c>
      <c r="P286" t="str">
        <f t="shared" si="91"/>
        <v>治疗费</v>
      </c>
    </row>
    <row r="287" spans="1:16">
      <c r="A287" t="str">
        <f>"氧气吸入"</f>
        <v>氧气吸入</v>
      </c>
      <c r="B287">
        <v>120300001</v>
      </c>
      <c r="C287" t="str">
        <f>"输氧"</f>
        <v>输氧</v>
      </c>
      <c r="D287" t="str">
        <f>"001203000010000"</f>
        <v>001203000010000</v>
      </c>
      <c r="G287">
        <v>4</v>
      </c>
      <c r="I287" t="str">
        <f>"次"</f>
        <v>次</v>
      </c>
      <c r="K287" t="str">
        <f>"YQXR"</f>
        <v>YQXR</v>
      </c>
      <c r="L287" t="str">
        <f>"RRKT"</f>
        <v>RRKT</v>
      </c>
      <c r="M287">
        <v>4</v>
      </c>
      <c r="N287">
        <v>120300001</v>
      </c>
      <c r="O287" t="str">
        <f>"小时"</f>
        <v>小时</v>
      </c>
      <c r="P287" t="str">
        <f>"输氧费"</f>
        <v>输氧费</v>
      </c>
    </row>
    <row r="288" spans="1:16">
      <c r="A288" t="str">
        <f>"一次性使用鼻氧管"</f>
        <v>一次性使用鼻氧管</v>
      </c>
      <c r="B288" t="str">
        <f>"120300001-1-5"</f>
        <v>120300001-1-5</v>
      </c>
      <c r="C288" t="str">
        <f t="shared" ref="C288:C296" si="92">"材料"</f>
        <v>材料</v>
      </c>
      <c r="G288">
        <v>1.38</v>
      </c>
      <c r="I288" t="str">
        <f>"双鼻式"</f>
        <v>双鼻式</v>
      </c>
      <c r="K288" t="str">
        <f>"YCXSYBYG"</f>
        <v>YCXSYBYG</v>
      </c>
      <c r="L288" t="str">
        <f>"GUNWETRT"</f>
        <v>GUNWETRT</v>
      </c>
      <c r="M288">
        <v>2.8</v>
      </c>
      <c r="N288" t="str">
        <f>"120300001-1"</f>
        <v>120300001-1</v>
      </c>
      <c r="O288" t="str">
        <f>"根"</f>
        <v>根</v>
      </c>
      <c r="P288" t="str">
        <f t="shared" ref="P288:P296" si="93">"材料费"</f>
        <v>材料费</v>
      </c>
    </row>
    <row r="289" spans="1:16">
      <c r="A289" t="str">
        <f>"氧气吸入（持续吸氧）"</f>
        <v>氧气吸入（持续吸氧）</v>
      </c>
      <c r="B289" t="str">
        <f>"120300001-a"</f>
        <v>120300001-a</v>
      </c>
      <c r="C289" t="str">
        <f>"其他"</f>
        <v>其他</v>
      </c>
      <c r="D289" t="str">
        <f>"001203000010000"</f>
        <v>001203000010000</v>
      </c>
      <c r="G289">
        <v>65</v>
      </c>
      <c r="I289" t="str">
        <f>"日"</f>
        <v>日</v>
      </c>
      <c r="K289" t="str">
        <f>"YQXR（CXXY）"</f>
        <v>YQXR（CXXY）</v>
      </c>
      <c r="L289" t="str">
        <f>"RRKTRXKR"</f>
        <v>RRKTRXKR</v>
      </c>
      <c r="M289">
        <v>65</v>
      </c>
      <c r="N289" t="str">
        <f>"120300001-a"</f>
        <v>120300001-a</v>
      </c>
      <c r="O289" t="str">
        <f>"日"</f>
        <v>日</v>
      </c>
      <c r="P289" t="str">
        <f>"输氧费"</f>
        <v>输氧费</v>
      </c>
    </row>
    <row r="290" spans="1:16">
      <c r="A290" t="str">
        <f>"一次性使用真空采血管"</f>
        <v>一次性使用真空采血管</v>
      </c>
      <c r="B290" t="str">
        <f>"1204-3-1"</f>
        <v>1204-3-1</v>
      </c>
      <c r="C290" t="str">
        <f t="shared" si="92"/>
        <v>材料</v>
      </c>
      <c r="D290" t="str">
        <f>"C1423022030001206474"</f>
        <v>C1423022030001206474</v>
      </c>
      <c r="G290" t="str">
        <f>"0.68"</f>
        <v>0.68</v>
      </c>
      <c r="I290" t="str">
        <f>"2ml；3ml；4ml；5ml；6ml；7ml；"</f>
        <v>2ml；3ml；4ml；5ml；6ml；7ml；</v>
      </c>
      <c r="K290" t="str">
        <f>"YCXSYZKCXG"</f>
        <v>YCXSYZKCXG</v>
      </c>
      <c r="L290" t="str">
        <f>"GUNWEFPETT"</f>
        <v>GUNWEFPETT</v>
      </c>
      <c r="M290">
        <v>1.6</v>
      </c>
      <c r="N290" t="str">
        <f>"1204-3"</f>
        <v>1204-3</v>
      </c>
      <c r="O290" t="str">
        <f t="shared" ref="O290:O296" si="94">"支"</f>
        <v>支</v>
      </c>
      <c r="P290" t="str">
        <f t="shared" si="93"/>
        <v>材料费</v>
      </c>
    </row>
    <row r="291" spans="1:16">
      <c r="A291" t="str">
        <f>"一次性使用真空采血器配套用针"</f>
        <v>一次性使用真空采血器配套用针</v>
      </c>
      <c r="B291" t="str">
        <f>"1204-3-2"</f>
        <v>1204-3-2</v>
      </c>
      <c r="C291" t="str">
        <f t="shared" si="92"/>
        <v>材料</v>
      </c>
      <c r="D291" t="str">
        <f>"C1603090260000000629"</f>
        <v>C1603090260000000629</v>
      </c>
      <c r="G291" t="str">
        <f>"0.2"</f>
        <v>0.2</v>
      </c>
      <c r="I291" t="str">
        <f>"A2-01 单翼 软接式 固定型 国产针 ABS针座"</f>
        <v>A2-01 单翼 软接式 固定型 国产针 ABS针座</v>
      </c>
      <c r="K291" t="str">
        <f>"YCXSYZKCXQPTYZ"</f>
        <v>YCXSYZKCXQPTYZ</v>
      </c>
      <c r="L291" t="str">
        <f>"GUNWEFPETKSDEQ"</f>
        <v>GUNWEFPETKSDEQ</v>
      </c>
      <c r="M291" t="str">
        <f>"0.4"</f>
        <v>0.4</v>
      </c>
      <c r="N291" t="str">
        <f>"1204-3"</f>
        <v>1204-3</v>
      </c>
      <c r="O291" t="str">
        <f t="shared" si="94"/>
        <v>支</v>
      </c>
      <c r="P291" t="str">
        <f t="shared" si="93"/>
        <v>材料费</v>
      </c>
    </row>
    <row r="292" spans="1:16">
      <c r="A292" t="str">
        <f>"-一次性使用加药注射器(20m)"</f>
        <v>-一次性使用加药注射器(20m)</v>
      </c>
      <c r="B292" t="str">
        <f>"1204-4"</f>
        <v>1204-4</v>
      </c>
      <c r="C292" t="str">
        <f t="shared" si="92"/>
        <v>材料</v>
      </c>
      <c r="D292" t="str">
        <f>"C1601011020000302030"</f>
        <v>C1601011020000302030</v>
      </c>
      <c r="G292" t="str">
        <f>"0.68"</f>
        <v>0.68</v>
      </c>
      <c r="I292" t="str">
        <f>"20ml"</f>
        <v>20ml</v>
      </c>
      <c r="K292" t="str">
        <f>"YCXSYJYZSQ20M"</f>
        <v>YCXSYJYZSQ20M</v>
      </c>
      <c r="L292" t="str">
        <f>"GUNWELAITK20M"</f>
        <v>GUNWELAITK20M</v>
      </c>
      <c r="M292">
        <v>1</v>
      </c>
      <c r="N292" t="str">
        <f>"1204-4"</f>
        <v>1204-4</v>
      </c>
      <c r="O292" t="str">
        <f t="shared" si="94"/>
        <v>支</v>
      </c>
      <c r="P292" t="str">
        <f t="shared" si="93"/>
        <v>材料费</v>
      </c>
    </row>
    <row r="293" spans="1:16">
      <c r="A293" t="str">
        <f>"一次性使用无菌注射器"</f>
        <v>一次性使用无菌注射器</v>
      </c>
      <c r="B293" t="str">
        <f>"1204-4-1"</f>
        <v>1204-4-1</v>
      </c>
      <c r="C293" t="str">
        <f t="shared" si="92"/>
        <v>材料</v>
      </c>
      <c r="G293" t="str">
        <f t="shared" ref="G293:G295" si="95">"0.3"</f>
        <v>0.3</v>
      </c>
      <c r="I293" t="str">
        <f>"1ML"</f>
        <v>1ML</v>
      </c>
      <c r="K293" t="str">
        <f>"YCXSYWJZSQ"</f>
        <v>YCXSYWJZSQ</v>
      </c>
      <c r="L293" t="str">
        <f>"GUNWEFAITK"</f>
        <v>GUNWEFAITK</v>
      </c>
      <c r="M293" t="str">
        <f t="shared" ref="M293:M295" si="96">"0.7"</f>
        <v>0.7</v>
      </c>
      <c r="N293" t="str">
        <f>"1204-4"</f>
        <v>1204-4</v>
      </c>
      <c r="O293" t="str">
        <f t="shared" si="94"/>
        <v>支</v>
      </c>
      <c r="P293" t="str">
        <f t="shared" si="93"/>
        <v>材料费</v>
      </c>
    </row>
    <row r="294" spans="1:16">
      <c r="A294" t="str">
        <f>"一次性使用无菌注射器(5ml)"</f>
        <v>一次性使用无菌注射器(5ml)</v>
      </c>
      <c r="B294" t="str">
        <f>"1204-4-55"</f>
        <v>1204-4-55</v>
      </c>
      <c r="C294" t="str">
        <f t="shared" si="92"/>
        <v>材料</v>
      </c>
      <c r="G294" t="str">
        <f t="shared" si="95"/>
        <v>0.3</v>
      </c>
      <c r="I294" t="str">
        <f>"5ml"</f>
        <v>5ml</v>
      </c>
      <c r="K294" t="str">
        <f>"YCXSYWJZSQ5ML"</f>
        <v>YCXSYWJZSQ5ML</v>
      </c>
      <c r="L294" t="str">
        <f>"GUNWEFAITK5ML"</f>
        <v>GUNWEFAITK5ML</v>
      </c>
      <c r="M294" t="str">
        <f t="shared" si="96"/>
        <v>0.7</v>
      </c>
      <c r="N294" t="str">
        <f>"1204-4-55"</f>
        <v>1204-4-55</v>
      </c>
      <c r="O294" t="str">
        <f t="shared" si="94"/>
        <v>支</v>
      </c>
      <c r="P294" t="str">
        <f t="shared" si="93"/>
        <v>材料费</v>
      </c>
    </row>
    <row r="295" spans="1:16">
      <c r="A295" t="str">
        <f>"一次性使用无菌注射器(2ml)"</f>
        <v>一次性使用无菌注射器(2ml)</v>
      </c>
      <c r="B295" t="str">
        <f>"1204-4-66"</f>
        <v>1204-4-66</v>
      </c>
      <c r="C295" t="str">
        <f t="shared" si="92"/>
        <v>材料</v>
      </c>
      <c r="G295" t="str">
        <f t="shared" si="95"/>
        <v>0.3</v>
      </c>
      <c r="I295" t="str">
        <f>"2ml"</f>
        <v>2ml</v>
      </c>
      <c r="K295" t="str">
        <f>"YCXSYWJZSQ2ML"</f>
        <v>YCXSYWJZSQ2ML</v>
      </c>
      <c r="L295" t="str">
        <f>"GUNWEFAITK2ML"</f>
        <v>GUNWEFAITK2ML</v>
      </c>
      <c r="M295" t="str">
        <f t="shared" si="96"/>
        <v>0.7</v>
      </c>
      <c r="N295" t="str">
        <f>"1204-4-66"</f>
        <v>1204-4-66</v>
      </c>
      <c r="O295" t="str">
        <f t="shared" si="94"/>
        <v>支</v>
      </c>
      <c r="P295" t="str">
        <f t="shared" si="93"/>
        <v>材料费</v>
      </c>
    </row>
    <row r="296" spans="1:16">
      <c r="A296" t="str">
        <f>"一次性使用胰岛素笔配套用针"</f>
        <v>一次性使用胰岛素笔配套用针</v>
      </c>
      <c r="B296" t="str">
        <f>"120400001-1-15"</f>
        <v>120400001-1-15</v>
      </c>
      <c r="C296" t="str">
        <f t="shared" si="92"/>
        <v>材料</v>
      </c>
      <c r="G296">
        <v>2.1</v>
      </c>
      <c r="I296" t="str">
        <f>"32Gx4mm"</f>
        <v>32Gx4mm</v>
      </c>
      <c r="K296" t="str">
        <f>"YCXSYYDSBPTYZ"</f>
        <v>YCXSYYDSBPTYZ</v>
      </c>
      <c r="L296" t="str">
        <f>"GUNWEEQGTSDEQ"</f>
        <v>GUNWEEQGTSDEQ</v>
      </c>
      <c r="M296">
        <v>3</v>
      </c>
      <c r="O296" t="str">
        <f t="shared" si="94"/>
        <v>支</v>
      </c>
      <c r="P296" t="str">
        <f t="shared" si="93"/>
        <v>材料费</v>
      </c>
    </row>
    <row r="297" spans="1:16">
      <c r="A297" t="str">
        <f>"皮内注射"</f>
        <v>皮内注射</v>
      </c>
      <c r="B297" t="str">
        <f>"120400001-2"</f>
        <v>120400001-2</v>
      </c>
      <c r="C297" t="str">
        <f t="shared" ref="C297:C309" si="97">"其他"</f>
        <v>其他</v>
      </c>
      <c r="D297" t="str">
        <f>"001204000010000"</f>
        <v>001204000010000</v>
      </c>
      <c r="G297">
        <v>4</v>
      </c>
      <c r="I297">
        <v>1</v>
      </c>
      <c r="K297" t="str">
        <f>"PNZS"</f>
        <v>PNZS</v>
      </c>
      <c r="L297" t="str">
        <f>"HMIT"</f>
        <v>HMIT</v>
      </c>
      <c r="M297">
        <v>5</v>
      </c>
      <c r="N297">
        <v>120400001</v>
      </c>
      <c r="O297" t="str">
        <f t="shared" ref="O297:O300" si="98">"次"</f>
        <v>次</v>
      </c>
      <c r="P297" t="str">
        <f t="shared" ref="P297:P302" si="99">"其他护理费"</f>
        <v>其他护理费</v>
      </c>
    </row>
    <row r="298" spans="1:16">
      <c r="A298" t="str">
        <f>"皮下注射"</f>
        <v>皮下注射</v>
      </c>
      <c r="B298" t="str">
        <f>"120400001-3"</f>
        <v>120400001-3</v>
      </c>
      <c r="C298" t="str">
        <f t="shared" si="97"/>
        <v>其他</v>
      </c>
      <c r="D298" t="str">
        <f>"001204000010000"</f>
        <v>001204000010000</v>
      </c>
      <c r="G298">
        <v>4</v>
      </c>
      <c r="I298">
        <v>1</v>
      </c>
      <c r="K298" t="str">
        <f>"PXZS"</f>
        <v>PXZS</v>
      </c>
      <c r="L298" t="str">
        <f>"HGIT"</f>
        <v>HGIT</v>
      </c>
      <c r="M298">
        <v>5</v>
      </c>
      <c r="N298">
        <v>120400001</v>
      </c>
      <c r="O298" t="str">
        <f t="shared" si="98"/>
        <v>次</v>
      </c>
      <c r="P298" t="str">
        <f t="shared" si="99"/>
        <v>其他护理费</v>
      </c>
    </row>
    <row r="299" spans="1:16">
      <c r="A299" t="str">
        <f>"心内注射"</f>
        <v>心内注射</v>
      </c>
      <c r="B299">
        <v>120400003</v>
      </c>
      <c r="C299" t="str">
        <f t="shared" si="97"/>
        <v>其他</v>
      </c>
      <c r="D299" t="str">
        <f>"001204000030000"</f>
        <v>001204000030000</v>
      </c>
      <c r="G299">
        <v>10</v>
      </c>
      <c r="I299" t="str">
        <f t="shared" ref="I299:I309" si="100">"次"</f>
        <v>次</v>
      </c>
      <c r="K299" t="str">
        <f>"XNZS"</f>
        <v>XNZS</v>
      </c>
      <c r="L299" t="str">
        <f>"NMIT"</f>
        <v>NMIT</v>
      </c>
      <c r="M299">
        <v>10</v>
      </c>
      <c r="N299">
        <v>120400003</v>
      </c>
      <c r="O299" t="str">
        <f t="shared" si="98"/>
        <v>次</v>
      </c>
      <c r="P299" t="str">
        <f t="shared" ref="P299:P301" si="101">"治疗费"</f>
        <v>治疗费</v>
      </c>
    </row>
    <row r="300" spans="1:16">
      <c r="A300" t="str">
        <f>"动脉加压注射"</f>
        <v>动脉加压注射</v>
      </c>
      <c r="B300">
        <v>120400004</v>
      </c>
      <c r="C300" t="str">
        <f t="shared" si="97"/>
        <v>其他</v>
      </c>
      <c r="D300" t="str">
        <f>"001204000040000"</f>
        <v>001204000040000</v>
      </c>
      <c r="G300">
        <v>7</v>
      </c>
      <c r="I300" t="str">
        <f t="shared" si="100"/>
        <v>次</v>
      </c>
      <c r="K300" t="str">
        <f>"DMJYZS"</f>
        <v>DMJYZS</v>
      </c>
      <c r="L300" t="str">
        <f>"FELDIT"</f>
        <v>FELDIT</v>
      </c>
      <c r="M300">
        <v>7</v>
      </c>
      <c r="N300">
        <v>120400004</v>
      </c>
      <c r="O300" t="str">
        <f t="shared" si="98"/>
        <v>次</v>
      </c>
      <c r="P300" t="str">
        <f t="shared" si="101"/>
        <v>治疗费</v>
      </c>
    </row>
    <row r="301" spans="1:16">
      <c r="A301" t="str">
        <f>"皮下输液"</f>
        <v>皮下输液</v>
      </c>
      <c r="B301">
        <v>120400005</v>
      </c>
      <c r="C301" t="str">
        <f t="shared" si="97"/>
        <v>其他</v>
      </c>
      <c r="D301" t="str">
        <f>"001204000050000"</f>
        <v>001204000050000</v>
      </c>
      <c r="G301">
        <v>2.6</v>
      </c>
      <c r="I301" t="str">
        <f>"组"</f>
        <v>组</v>
      </c>
      <c r="K301" t="str">
        <f>"PXSY"</f>
        <v>PXSY</v>
      </c>
      <c r="L301" t="str">
        <f>"HGLI"</f>
        <v>HGLI</v>
      </c>
      <c r="M301">
        <v>2.6</v>
      </c>
      <c r="N301">
        <v>120400005</v>
      </c>
      <c r="O301" t="str">
        <f>"组"</f>
        <v>组</v>
      </c>
      <c r="P301" t="str">
        <f t="shared" si="101"/>
        <v>治疗费</v>
      </c>
    </row>
    <row r="302" spans="1:16">
      <c r="A302" t="str">
        <f>"静脉输液每瓶加收"</f>
        <v>静脉输液每瓶加收</v>
      </c>
      <c r="B302" t="str">
        <f>"120400006-b"</f>
        <v>120400006-b</v>
      </c>
      <c r="C302" t="str">
        <f t="shared" si="97"/>
        <v>其他</v>
      </c>
      <c r="D302" t="str">
        <f>"001204000060000"</f>
        <v>001204000060000</v>
      </c>
      <c r="G302">
        <v>1</v>
      </c>
      <c r="I302" t="str">
        <f>"-"</f>
        <v>-</v>
      </c>
      <c r="K302" t="str">
        <f>"JMSYMPJS"</f>
        <v>JMSYMPJS</v>
      </c>
      <c r="L302" t="str">
        <f>"GELITULN"</f>
        <v>GELITULN</v>
      </c>
      <c r="M302">
        <v>1.3</v>
      </c>
      <c r="N302" t="str">
        <f>"120400006-b"</f>
        <v>120400006-b</v>
      </c>
      <c r="O302" t="str">
        <f>"瓶"</f>
        <v>瓶</v>
      </c>
      <c r="P302" t="str">
        <f t="shared" si="99"/>
        <v>其他护理费</v>
      </c>
    </row>
    <row r="303" spans="1:16">
      <c r="A303" t="str">
        <f>"静脉高营养治疗"</f>
        <v>静脉高营养治疗</v>
      </c>
      <c r="B303">
        <v>120400008</v>
      </c>
      <c r="C303" t="str">
        <f t="shared" si="97"/>
        <v>其他</v>
      </c>
      <c r="D303" t="str">
        <f>"001204000080000"</f>
        <v>001204000080000</v>
      </c>
      <c r="G303">
        <v>6.5</v>
      </c>
      <c r="I303" t="str">
        <f t="shared" si="100"/>
        <v>次</v>
      </c>
      <c r="K303" t="str">
        <f>"JMGYYZL"</f>
        <v>JMGYYZL</v>
      </c>
      <c r="L303" t="str">
        <f>"GEYAUIU"</f>
        <v>GEYAUIU</v>
      </c>
      <c r="M303">
        <v>6.5</v>
      </c>
      <c r="N303">
        <v>120400008</v>
      </c>
      <c r="O303" t="str">
        <f t="shared" ref="O303:O309" si="102">"次"</f>
        <v>次</v>
      </c>
      <c r="P303" t="str">
        <f t="shared" ref="P303:P306" si="103">"治疗费"</f>
        <v>治疗费</v>
      </c>
    </row>
    <row r="304" spans="1:16">
      <c r="A304" t="str">
        <f>"大清创缝合"</f>
        <v>大清创缝合</v>
      </c>
      <c r="B304">
        <v>120500001</v>
      </c>
      <c r="C304" t="str">
        <f t="shared" si="97"/>
        <v>其他</v>
      </c>
      <c r="D304" t="str">
        <f>"001205000010000"</f>
        <v>001205000010000</v>
      </c>
      <c r="G304">
        <v>170</v>
      </c>
      <c r="I304" t="str">
        <f t="shared" si="100"/>
        <v>次</v>
      </c>
      <c r="K304" t="str">
        <f>"DQCFH"</f>
        <v>DQCFH</v>
      </c>
      <c r="L304" t="str">
        <f>"DIWXW"</f>
        <v>DIWXW</v>
      </c>
      <c r="M304">
        <v>170</v>
      </c>
      <c r="N304">
        <v>120500001</v>
      </c>
      <c r="O304" t="str">
        <f t="shared" si="102"/>
        <v>次</v>
      </c>
      <c r="P304" t="str">
        <f t="shared" ref="P304:P309" si="104">"手术费"</f>
        <v>手术费</v>
      </c>
    </row>
    <row r="305" spans="1:16">
      <c r="A305" t="str">
        <f>"大清创"</f>
        <v>大清创</v>
      </c>
      <c r="B305" t="str">
        <f>"120500001-a"</f>
        <v>120500001-a</v>
      </c>
      <c r="C305" t="str">
        <f t="shared" si="97"/>
        <v>其他</v>
      </c>
      <c r="D305" t="str">
        <f>"001205000010000"</f>
        <v>001205000010000</v>
      </c>
      <c r="G305">
        <v>70</v>
      </c>
      <c r="I305" t="str">
        <f t="shared" si="100"/>
        <v>次</v>
      </c>
      <c r="K305" t="str">
        <f>"DQC"</f>
        <v>DQC</v>
      </c>
      <c r="L305" t="str">
        <f>"DIW"</f>
        <v>DIW</v>
      </c>
      <c r="M305">
        <v>70</v>
      </c>
      <c r="N305" t="str">
        <f>"120500001-a"</f>
        <v>120500001-a</v>
      </c>
      <c r="O305" t="str">
        <f t="shared" si="102"/>
        <v>次</v>
      </c>
      <c r="P305" t="str">
        <f t="shared" si="103"/>
        <v>治疗费</v>
      </c>
    </row>
    <row r="306" spans="1:16">
      <c r="A306" t="str">
        <f>"中清创缝合"</f>
        <v>中清创缝合</v>
      </c>
      <c r="B306">
        <v>120500002</v>
      </c>
      <c r="C306" t="str">
        <f t="shared" si="97"/>
        <v>其他</v>
      </c>
      <c r="D306" t="str">
        <f>"001205000020000"</f>
        <v>001205000020000</v>
      </c>
      <c r="G306">
        <v>85</v>
      </c>
      <c r="I306" t="str">
        <f t="shared" si="100"/>
        <v>次</v>
      </c>
      <c r="K306" t="str">
        <f>"ZQCFH"</f>
        <v>ZQCFH</v>
      </c>
      <c r="L306" t="str">
        <f>"KIWXW"</f>
        <v>KIWXW</v>
      </c>
      <c r="M306">
        <v>85</v>
      </c>
      <c r="N306">
        <v>120500002</v>
      </c>
      <c r="O306" t="str">
        <f t="shared" si="102"/>
        <v>次</v>
      </c>
      <c r="P306" t="str">
        <f t="shared" si="103"/>
        <v>治疗费</v>
      </c>
    </row>
    <row r="307" spans="1:16">
      <c r="A307" t="str">
        <f>"中清创"</f>
        <v>中清创</v>
      </c>
      <c r="B307" t="str">
        <f>"120500002-a"</f>
        <v>120500002-a</v>
      </c>
      <c r="C307" t="str">
        <f t="shared" si="97"/>
        <v>其他</v>
      </c>
      <c r="D307" t="str">
        <f>"001205000020000"</f>
        <v>001205000020000</v>
      </c>
      <c r="G307">
        <v>60</v>
      </c>
      <c r="I307" t="str">
        <f t="shared" si="100"/>
        <v>次</v>
      </c>
      <c r="K307" t="str">
        <f>"ZQC"</f>
        <v>ZQC</v>
      </c>
      <c r="L307" t="str">
        <f>"KIW"</f>
        <v>KIW</v>
      </c>
      <c r="M307">
        <v>60</v>
      </c>
      <c r="N307" t="str">
        <f>"120500002-a"</f>
        <v>120500002-a</v>
      </c>
      <c r="O307" t="str">
        <f t="shared" si="102"/>
        <v>次</v>
      </c>
      <c r="P307" t="str">
        <f t="shared" si="104"/>
        <v>手术费</v>
      </c>
    </row>
    <row r="308" spans="1:16">
      <c r="A308" t="str">
        <f>"小清创缝合"</f>
        <v>小清创缝合</v>
      </c>
      <c r="B308">
        <v>120500003</v>
      </c>
      <c r="C308" t="str">
        <f t="shared" si="97"/>
        <v>其他</v>
      </c>
      <c r="D308" t="str">
        <f>"001205000030000"</f>
        <v>001205000030000</v>
      </c>
      <c r="G308">
        <v>65</v>
      </c>
      <c r="I308" t="str">
        <f t="shared" si="100"/>
        <v>次</v>
      </c>
      <c r="K308" t="str">
        <f>"XQCFH"</f>
        <v>XQCFH</v>
      </c>
      <c r="L308" t="str">
        <f>"IIWXW"</f>
        <v>IIWXW</v>
      </c>
      <c r="M308">
        <v>65</v>
      </c>
      <c r="N308">
        <v>120500003</v>
      </c>
      <c r="O308" t="str">
        <f t="shared" si="102"/>
        <v>次</v>
      </c>
      <c r="P308" t="str">
        <f t="shared" si="104"/>
        <v>手术费</v>
      </c>
    </row>
    <row r="309" spans="1:16">
      <c r="A309" t="str">
        <f>"小清创"</f>
        <v>小清创</v>
      </c>
      <c r="B309" t="str">
        <f>"120500003-a"</f>
        <v>120500003-a</v>
      </c>
      <c r="C309" t="str">
        <f t="shared" si="97"/>
        <v>其他</v>
      </c>
      <c r="D309" t="str">
        <f>"001205000030000"</f>
        <v>001205000030000</v>
      </c>
      <c r="G309">
        <v>35</v>
      </c>
      <c r="I309" t="str">
        <f t="shared" si="100"/>
        <v>次</v>
      </c>
      <c r="K309" t="str">
        <f>"XQC"</f>
        <v>XQC</v>
      </c>
      <c r="L309" t="str">
        <f>"IIW"</f>
        <v>IIW</v>
      </c>
      <c r="M309">
        <v>35</v>
      </c>
      <c r="N309" t="str">
        <f>"120500003-a"</f>
        <v>120500003-a</v>
      </c>
      <c r="O309" t="str">
        <f t="shared" si="102"/>
        <v>次</v>
      </c>
      <c r="P309" t="str">
        <f t="shared" si="104"/>
        <v>手术费</v>
      </c>
    </row>
    <row r="310" spans="1:16">
      <c r="A310" t="str">
        <f>"弹性绷带（自粘型）"</f>
        <v>弹性绷带（自粘型）</v>
      </c>
      <c r="B310" t="str">
        <f>"1206-2-2"</f>
        <v>1206-2-2</v>
      </c>
      <c r="C310" t="str">
        <f t="shared" ref="C310:C322" si="105">"材料"</f>
        <v>材料</v>
      </c>
      <c r="G310">
        <v>3.38</v>
      </c>
      <c r="I310" t="str">
        <f>"卷"</f>
        <v>卷</v>
      </c>
      <c r="K310" t="str">
        <f>"DXBDZZX"</f>
        <v>DXBDZZX</v>
      </c>
      <c r="L310" t="str">
        <f>"XNXGTOG"</f>
        <v>XNXGTOG</v>
      </c>
      <c r="M310">
        <v>24</v>
      </c>
      <c r="O310" t="str">
        <f>"卷"</f>
        <v>卷</v>
      </c>
      <c r="P310" t="str">
        <f t="shared" ref="P310:P317" si="106">"材料费"</f>
        <v>材料费</v>
      </c>
    </row>
    <row r="311" spans="1:16">
      <c r="A311" t="str">
        <f>"3591895-纱布绷带（非无菌）"</f>
        <v>3591895-纱布绷带（非无菌）</v>
      </c>
      <c r="B311" t="str">
        <f>"1206-2-999"</f>
        <v>1206-2-999</v>
      </c>
      <c r="C311" t="str">
        <f t="shared" si="105"/>
        <v>材料</v>
      </c>
      <c r="G311">
        <v>1.41</v>
      </c>
      <c r="I311" t="str">
        <f>"6000mmX80mm"</f>
        <v>6000mmX80mm</v>
      </c>
      <c r="K311" t="str">
        <f>"3591895SBBDFWJ"</f>
        <v>3591895SBBDFWJ</v>
      </c>
      <c r="L311" t="str">
        <f>"3591895XDXGDFA"</f>
        <v>3591895XDXGDFA</v>
      </c>
      <c r="M311">
        <v>1.5</v>
      </c>
      <c r="O311" t="str">
        <f>"卷"</f>
        <v>卷</v>
      </c>
      <c r="P311" t="str">
        <f>"耗材费"</f>
        <v>耗材费</v>
      </c>
    </row>
    <row r="312" spans="1:16">
      <c r="A312" t="str">
        <f>"1764819-粘贴伤口敷料"</f>
        <v>1764819-粘贴伤口敷料</v>
      </c>
      <c r="B312" t="str">
        <f>"1206-3-2"</f>
        <v>1206-3-2</v>
      </c>
      <c r="C312" t="str">
        <f t="shared" si="105"/>
        <v>材料</v>
      </c>
      <c r="D312" t="str">
        <f>"C17040100000000"</f>
        <v>C17040100000000</v>
      </c>
      <c r="G312">
        <v>1.8</v>
      </c>
      <c r="I312" t="str">
        <f>"9*15"</f>
        <v>9*15</v>
      </c>
      <c r="K312" t="str">
        <f>"1764819ZTSKFL"</f>
        <v>1764819ZTSKFL</v>
      </c>
      <c r="L312" t="str">
        <f>"1764819OMWKGO"</f>
        <v>1764819OMWKGO</v>
      </c>
      <c r="M312">
        <v>1.9</v>
      </c>
      <c r="N312" t="str">
        <f t="shared" ref="N312:N315" si="107">"1206-3"</f>
        <v>1206-3</v>
      </c>
      <c r="O312" t="str">
        <f>"次"</f>
        <v>次</v>
      </c>
      <c r="P312" t="str">
        <f t="shared" si="106"/>
        <v>材料费</v>
      </c>
    </row>
    <row r="313" spans="1:16">
      <c r="A313" t="str">
        <f>"3M伤口敷料"</f>
        <v>3M伤口敷料</v>
      </c>
      <c r="B313" t="str">
        <f>"1206-3-3"</f>
        <v>1206-3-3</v>
      </c>
      <c r="C313" t="str">
        <f t="shared" si="105"/>
        <v>材料</v>
      </c>
      <c r="D313" t="str">
        <f>"C17010521606000"</f>
        <v>C17010521606000</v>
      </c>
      <c r="G313">
        <v>2.4</v>
      </c>
      <c r="I313" t="str">
        <f>"张"</f>
        <v>张</v>
      </c>
      <c r="K313" t="str">
        <f>"3MSKFL"</f>
        <v>3MSKFL</v>
      </c>
      <c r="L313" t="str">
        <f>"3MWKGO"</f>
        <v>3MWKGO</v>
      </c>
      <c r="M313">
        <v>11</v>
      </c>
      <c r="N313" t="str">
        <f t="shared" si="107"/>
        <v>1206-3</v>
      </c>
      <c r="O313" t="str">
        <f>"张"</f>
        <v>张</v>
      </c>
      <c r="P313" t="str">
        <f t="shared" si="106"/>
        <v>材料费</v>
      </c>
    </row>
    <row r="314" spans="1:16">
      <c r="A314" t="str">
        <f>"3M伤口敷料（15cm*10cm ）"</f>
        <v>3M伤口敷料（15cm*10cm ）</v>
      </c>
      <c r="B314" t="str">
        <f>"1206-3-5"</f>
        <v>1206-3-5</v>
      </c>
      <c r="C314" t="str">
        <f t="shared" si="105"/>
        <v>材料</v>
      </c>
      <c r="D314" t="str">
        <f>"C1701052160600003012"</f>
        <v>C1701052160600003012</v>
      </c>
      <c r="G314">
        <v>4.47</v>
      </c>
      <c r="I314" t="str">
        <f>"15cm*10cm 3669C"</f>
        <v>15cm*10cm 3669C</v>
      </c>
      <c r="K314" t="str">
        <f>"3MSKFL15CM10CM"</f>
        <v>3MSKFL15CM10CM</v>
      </c>
      <c r="L314" t="str">
        <f>"3MWKGO15CM10CM"</f>
        <v>3MWKGO15CM10CM</v>
      </c>
      <c r="M314">
        <v>7.5</v>
      </c>
      <c r="N314" t="str">
        <f t="shared" si="107"/>
        <v>1206-3</v>
      </c>
      <c r="O314" t="str">
        <f t="shared" ref="O314:O316" si="108">"片"</f>
        <v>片</v>
      </c>
      <c r="P314" t="str">
        <f t="shared" si="106"/>
        <v>材料费</v>
      </c>
    </row>
    <row r="315" spans="1:16">
      <c r="A315" t="str">
        <f>"3M伤口敷料（7cm*5cm）"</f>
        <v>3M伤口敷料（7cm*5cm）</v>
      </c>
      <c r="B315" t="str">
        <f>"1206-3-6"</f>
        <v>1206-3-6</v>
      </c>
      <c r="C315" t="str">
        <f t="shared" si="105"/>
        <v>材料</v>
      </c>
      <c r="D315" t="str">
        <f>"C17010521606000"</f>
        <v>C17010521606000</v>
      </c>
      <c r="G315">
        <v>1.56</v>
      </c>
      <c r="I315" t="str">
        <f>"7cm*5cm 3662C"</f>
        <v>7cm*5cm 3662C</v>
      </c>
      <c r="K315" t="str">
        <f>"3MSKFL7CM5CM"</f>
        <v>3MSKFL7CM5CM</v>
      </c>
      <c r="L315" t="str">
        <f>"3MWKGO7CM5CM"</f>
        <v>3MWKGO7CM5CM</v>
      </c>
      <c r="M315">
        <v>3.2</v>
      </c>
      <c r="N315" t="str">
        <f t="shared" si="107"/>
        <v>1206-3</v>
      </c>
      <c r="O315" t="str">
        <f t="shared" si="108"/>
        <v>片</v>
      </c>
      <c r="P315" t="str">
        <f t="shared" si="106"/>
        <v>材料费</v>
      </c>
    </row>
    <row r="316" spans="1:16">
      <c r="A316" t="str">
        <f>"灭菌凡士林纱布"</f>
        <v>灭菌凡士林纱布</v>
      </c>
      <c r="B316" t="str">
        <f>"1206-3-66"</f>
        <v>1206-3-66</v>
      </c>
      <c r="C316" t="str">
        <f t="shared" si="105"/>
        <v>材料</v>
      </c>
      <c r="D316" t="str">
        <f>"C1701072160100008340"</f>
        <v>C1701072160100008340</v>
      </c>
      <c r="G316">
        <v>1.55</v>
      </c>
      <c r="I316" t="str">
        <f>"10*10"</f>
        <v>10*10</v>
      </c>
      <c r="K316" t="str">
        <f>"MJFSLSB"</f>
        <v>MJFSLSB</v>
      </c>
      <c r="L316" t="str">
        <f>"GAMFSXD"</f>
        <v>GAMFSXD</v>
      </c>
      <c r="M316">
        <v>2</v>
      </c>
      <c r="N316" t="str">
        <f>"1206-3-66"</f>
        <v>1206-3-66</v>
      </c>
      <c r="O316" t="str">
        <f t="shared" si="108"/>
        <v>片</v>
      </c>
      <c r="P316" t="str">
        <f t="shared" si="106"/>
        <v>材料费</v>
      </c>
    </row>
    <row r="317" spans="1:16">
      <c r="A317" t="str">
        <f>"医用促愈功能性敷料"</f>
        <v>医用促愈功能性敷料</v>
      </c>
      <c r="B317" t="str">
        <f>"1206-3-69"</f>
        <v>1206-3-69</v>
      </c>
      <c r="C317" t="str">
        <f t="shared" si="105"/>
        <v>材料</v>
      </c>
      <c r="G317">
        <v>95</v>
      </c>
      <c r="I317" t="str">
        <f>"10g"</f>
        <v>10g</v>
      </c>
      <c r="K317" t="str">
        <f>"YYCYGNXFL"</f>
        <v>YYCYGNXFL</v>
      </c>
      <c r="L317" t="str">
        <f>"AEWWACNGO"</f>
        <v>AEWWACNGO</v>
      </c>
      <c r="M317">
        <v>96.5</v>
      </c>
      <c r="O317" t="str">
        <f>"支"</f>
        <v>支</v>
      </c>
      <c r="P317" t="str">
        <f t="shared" si="106"/>
        <v>材料费</v>
      </c>
    </row>
    <row r="318" spans="1:16">
      <c r="A318" t="str">
        <f>"水胶体敷料"</f>
        <v>水胶体敷料</v>
      </c>
      <c r="B318" t="str">
        <f>"1206-3.1"</f>
        <v>1206-3.1</v>
      </c>
      <c r="C318" t="str">
        <f t="shared" si="105"/>
        <v>材料</v>
      </c>
      <c r="G318">
        <v>28</v>
      </c>
      <c r="I318" t="str">
        <f>"10cmx10cmx0.4mm"</f>
        <v>10cmx10cmx0.4mm</v>
      </c>
      <c r="K318" t="str">
        <f>"SJTFL"</f>
        <v>SJTFL</v>
      </c>
      <c r="L318" t="str">
        <f>"IEWGO"</f>
        <v>IEWGO</v>
      </c>
      <c r="M318">
        <v>28</v>
      </c>
      <c r="O318" t="str">
        <f>"片"</f>
        <v>片</v>
      </c>
      <c r="P318" t="str">
        <f>"耗材费"</f>
        <v>耗材费</v>
      </c>
    </row>
    <row r="319" spans="1:16">
      <c r="A319" t="str">
        <f>"外用离子抗菌敷料"</f>
        <v>外用离子抗菌敷料</v>
      </c>
      <c r="B319" t="str">
        <f>"1206-4-10"</f>
        <v>1206-4-10</v>
      </c>
      <c r="C319" t="str">
        <f t="shared" si="105"/>
        <v>材料</v>
      </c>
      <c r="G319">
        <v>60</v>
      </c>
      <c r="I319" t="str">
        <f>"30ml"</f>
        <v>30ml</v>
      </c>
      <c r="K319" t="str">
        <f>"WYLZKJFL"</f>
        <v>WYLZKJFL</v>
      </c>
      <c r="L319" t="str">
        <f>"QEYBRAGO"</f>
        <v>QEYBRAGO</v>
      </c>
      <c r="M319">
        <v>60</v>
      </c>
      <c r="O319" t="str">
        <f>"瓶"</f>
        <v>瓶</v>
      </c>
      <c r="P319" t="str">
        <f t="shared" ref="P319:P322" si="109">"材料费"</f>
        <v>材料费</v>
      </c>
    </row>
    <row r="320" spans="1:16">
      <c r="A320" t="str">
        <f>"透明质酸凝胶敷料"</f>
        <v>透明质酸凝胶敷料</v>
      </c>
      <c r="B320" t="str">
        <f>"1206-4-5"</f>
        <v>1206-4-5</v>
      </c>
      <c r="C320" t="str">
        <f t="shared" si="105"/>
        <v>材料</v>
      </c>
      <c r="G320">
        <v>109.5</v>
      </c>
      <c r="I320" t="str">
        <f>"支"</f>
        <v>支</v>
      </c>
      <c r="K320" t="str">
        <f>"TMZSNJFL"</f>
        <v>TMZSNJFL</v>
      </c>
      <c r="L320" t="str">
        <f>"TJRSUEGO"</f>
        <v>TJRSUEGO</v>
      </c>
      <c r="M320">
        <v>114</v>
      </c>
      <c r="O320" t="str">
        <f>"支"</f>
        <v>支</v>
      </c>
      <c r="P320" t="str">
        <f t="shared" si="109"/>
        <v>材料费</v>
      </c>
    </row>
    <row r="321" spans="1:16">
      <c r="A321" t="str">
        <f>"透明质酸敷料"</f>
        <v>透明质酸敷料</v>
      </c>
      <c r="B321" t="str">
        <f>"1206-4-9"</f>
        <v>1206-4-9</v>
      </c>
      <c r="C321" t="str">
        <f t="shared" si="105"/>
        <v>材料</v>
      </c>
      <c r="G321">
        <v>180</v>
      </c>
      <c r="I321" t="str">
        <f>"YF（T）-C-1"</f>
        <v>YF（T）-C-1</v>
      </c>
      <c r="K321" t="str">
        <f>"TMZSFL"</f>
        <v>TMZSFL</v>
      </c>
      <c r="L321" t="str">
        <f>"TJRSGO"</f>
        <v>TJRSGO</v>
      </c>
      <c r="M321">
        <v>180</v>
      </c>
      <c r="O321" t="str">
        <f>"盒"</f>
        <v>盒</v>
      </c>
      <c r="P321" t="str">
        <f t="shared" si="109"/>
        <v>材料费</v>
      </c>
    </row>
    <row r="322" spans="1:16">
      <c r="A322" t="str">
        <f>"纱布创面敷料"</f>
        <v>纱布创面敷料</v>
      </c>
      <c r="B322" t="str">
        <f>"1206-9-3"</f>
        <v>1206-9-3</v>
      </c>
      <c r="C322" t="str">
        <f t="shared" si="105"/>
        <v>材料</v>
      </c>
      <c r="G322">
        <v>41</v>
      </c>
      <c r="I322" t="str">
        <f>"6cmx4cm"</f>
        <v>6cmx4cm</v>
      </c>
      <c r="K322" t="str">
        <f>"SBCMFL"</f>
        <v>SBCMFL</v>
      </c>
      <c r="L322" t="str">
        <f>"XDWDGO"</f>
        <v>XDWDGO</v>
      </c>
      <c r="M322">
        <v>47</v>
      </c>
      <c r="O322" t="str">
        <f>"片"</f>
        <v>片</v>
      </c>
      <c r="P322" t="str">
        <f t="shared" si="109"/>
        <v>材料费</v>
      </c>
    </row>
    <row r="323" spans="1:16">
      <c r="A323" t="str">
        <f>"特大换药"</f>
        <v>特大换药</v>
      </c>
      <c r="B323">
        <v>120600001</v>
      </c>
      <c r="C323" t="str">
        <f t="shared" ref="C323:C335" si="110">"其他"</f>
        <v>其他</v>
      </c>
      <c r="D323" t="str">
        <f>"001206000010000"</f>
        <v>001206000010000</v>
      </c>
      <c r="G323">
        <v>39</v>
      </c>
      <c r="I323" t="str">
        <f t="shared" ref="I323:I335" si="111">"次"</f>
        <v>次</v>
      </c>
      <c r="K323" t="str">
        <f>"TDHY"</f>
        <v>TDHY</v>
      </c>
      <c r="L323" t="str">
        <f>"TDRA"</f>
        <v>TDRA</v>
      </c>
      <c r="M323">
        <v>39</v>
      </c>
      <c r="N323">
        <v>120600001</v>
      </c>
      <c r="O323" t="str">
        <f t="shared" ref="O323:O335" si="112">"次"</f>
        <v>次</v>
      </c>
      <c r="P323" t="str">
        <f t="shared" ref="P323:P335" si="113">"治疗费"</f>
        <v>治疗费</v>
      </c>
    </row>
    <row r="324" spans="1:16">
      <c r="A324" t="str">
        <f>"大换药"</f>
        <v>大换药</v>
      </c>
      <c r="B324">
        <v>120600002</v>
      </c>
      <c r="C324" t="str">
        <f t="shared" si="110"/>
        <v>其他</v>
      </c>
      <c r="D324" t="str">
        <f>"001206000020000"</f>
        <v>001206000020000</v>
      </c>
      <c r="G324">
        <v>26</v>
      </c>
      <c r="I324" t="str">
        <f t="shared" si="111"/>
        <v>次</v>
      </c>
      <c r="K324" t="str">
        <f>"DHY"</f>
        <v>DHY</v>
      </c>
      <c r="L324" t="str">
        <f>"DRA"</f>
        <v>DRA</v>
      </c>
      <c r="M324">
        <v>26</v>
      </c>
      <c r="N324">
        <v>120600002</v>
      </c>
      <c r="O324" t="str">
        <f t="shared" si="112"/>
        <v>次</v>
      </c>
      <c r="P324" t="str">
        <f t="shared" si="113"/>
        <v>治疗费</v>
      </c>
    </row>
    <row r="325" spans="1:16">
      <c r="A325" t="str">
        <f>"中换药"</f>
        <v>中换药</v>
      </c>
      <c r="B325">
        <v>120600003</v>
      </c>
      <c r="C325" t="str">
        <f t="shared" si="110"/>
        <v>其他</v>
      </c>
      <c r="D325" t="str">
        <f>"001206000030000"</f>
        <v>001206000030000</v>
      </c>
      <c r="G325">
        <v>13</v>
      </c>
      <c r="I325" t="str">
        <f t="shared" si="111"/>
        <v>次</v>
      </c>
      <c r="K325" t="str">
        <f>"ZHY"</f>
        <v>ZHY</v>
      </c>
      <c r="L325" t="str">
        <f>"KRA"</f>
        <v>KRA</v>
      </c>
      <c r="M325">
        <v>13</v>
      </c>
      <c r="N325">
        <v>120600003</v>
      </c>
      <c r="O325" t="str">
        <f t="shared" si="112"/>
        <v>次</v>
      </c>
      <c r="P325" t="str">
        <f t="shared" si="113"/>
        <v>治疗费</v>
      </c>
    </row>
    <row r="326" spans="1:16">
      <c r="A326" t="str">
        <f>"小换药"</f>
        <v>小换药</v>
      </c>
      <c r="B326">
        <v>120600004</v>
      </c>
      <c r="C326" t="str">
        <f t="shared" si="110"/>
        <v>其他</v>
      </c>
      <c r="D326" t="str">
        <f>"001206000040000"</f>
        <v>001206000040000</v>
      </c>
      <c r="G326">
        <v>6.5</v>
      </c>
      <c r="I326" t="str">
        <f t="shared" si="111"/>
        <v>次</v>
      </c>
      <c r="K326" t="str">
        <f>"XHY"</f>
        <v>XHY</v>
      </c>
      <c r="L326" t="str">
        <f>"IRA"</f>
        <v>IRA</v>
      </c>
      <c r="M326">
        <v>7</v>
      </c>
      <c r="N326">
        <v>120600004</v>
      </c>
      <c r="O326" t="str">
        <f t="shared" si="112"/>
        <v>次</v>
      </c>
      <c r="P326" t="str">
        <f t="shared" si="113"/>
        <v>治疗费</v>
      </c>
    </row>
    <row r="327" spans="1:16">
      <c r="A327" t="str">
        <f>"鼻饲管置管"</f>
        <v>鼻饲管置管</v>
      </c>
      <c r="B327">
        <v>120800001</v>
      </c>
      <c r="C327" t="str">
        <f t="shared" si="110"/>
        <v>其他</v>
      </c>
      <c r="D327" t="str">
        <f>"001208000010000"</f>
        <v>001208000010000</v>
      </c>
      <c r="G327">
        <v>13</v>
      </c>
      <c r="I327" t="str">
        <f t="shared" si="111"/>
        <v>次</v>
      </c>
      <c r="K327" t="str">
        <f>"BSGZG"</f>
        <v>BSGZG</v>
      </c>
      <c r="L327" t="str">
        <f>"TQTLT"</f>
        <v>TQTLT</v>
      </c>
      <c r="M327">
        <v>13</v>
      </c>
      <c r="N327">
        <v>120800001</v>
      </c>
      <c r="O327" t="str">
        <f t="shared" si="112"/>
        <v>次</v>
      </c>
      <c r="P327" t="str">
        <f t="shared" si="113"/>
        <v>治疗费</v>
      </c>
    </row>
    <row r="328" spans="1:16">
      <c r="A328" t="str">
        <f>"洗胃"</f>
        <v>洗胃</v>
      </c>
      <c r="B328">
        <v>121000001</v>
      </c>
      <c r="C328" t="str">
        <f t="shared" si="110"/>
        <v>其他</v>
      </c>
      <c r="D328" t="str">
        <f>"001210000010000"</f>
        <v>001210000010000</v>
      </c>
      <c r="G328">
        <v>26</v>
      </c>
      <c r="I328" t="str">
        <f t="shared" si="111"/>
        <v>次</v>
      </c>
      <c r="K328" t="str">
        <f>"XW"</f>
        <v>XW</v>
      </c>
      <c r="L328" t="str">
        <f>"IL"</f>
        <v>IL</v>
      </c>
      <c r="M328">
        <v>26</v>
      </c>
      <c r="N328">
        <v>121000001</v>
      </c>
      <c r="O328" t="str">
        <f t="shared" si="112"/>
        <v>次</v>
      </c>
      <c r="P328" t="str">
        <f t="shared" si="113"/>
        <v>治疗费</v>
      </c>
    </row>
    <row r="329" spans="1:16">
      <c r="A329" t="str">
        <f>"一般物理降温"</f>
        <v>一般物理降温</v>
      </c>
      <c r="B329">
        <v>121100001</v>
      </c>
      <c r="C329" t="str">
        <f t="shared" si="110"/>
        <v>其他</v>
      </c>
      <c r="D329" t="str">
        <f>"001211000010000"</f>
        <v>001211000010000</v>
      </c>
      <c r="G329">
        <v>2.6</v>
      </c>
      <c r="I329" t="str">
        <f t="shared" si="111"/>
        <v>次</v>
      </c>
      <c r="K329" t="str">
        <f>"YBWLJW"</f>
        <v>YBWLJW</v>
      </c>
      <c r="L329" t="str">
        <f>"GTTGBI"</f>
        <v>GTTGBI</v>
      </c>
      <c r="M329">
        <v>3</v>
      </c>
      <c r="N329">
        <v>121100001</v>
      </c>
      <c r="O329" t="str">
        <f t="shared" si="112"/>
        <v>次</v>
      </c>
      <c r="P329" t="str">
        <f t="shared" si="113"/>
        <v>治疗费</v>
      </c>
    </row>
    <row r="330" spans="1:16">
      <c r="A330" t="str">
        <f>"特殊物理降温"</f>
        <v>特殊物理降温</v>
      </c>
      <c r="B330">
        <v>121100002</v>
      </c>
      <c r="C330" t="str">
        <f t="shared" si="110"/>
        <v>其他</v>
      </c>
      <c r="D330" t="str">
        <f>"001211000020000"</f>
        <v>001211000020000</v>
      </c>
      <c r="G330">
        <v>6.5</v>
      </c>
      <c r="I330" t="str">
        <f t="shared" si="111"/>
        <v>次</v>
      </c>
      <c r="K330" t="str">
        <f>"TSWLJW"</f>
        <v>TSWLJW</v>
      </c>
      <c r="L330" t="str">
        <f>"TGTGBI"</f>
        <v>TGTGBI</v>
      </c>
      <c r="M330">
        <v>6.5</v>
      </c>
      <c r="N330">
        <v>121100002</v>
      </c>
      <c r="O330" t="str">
        <f t="shared" si="112"/>
        <v>次</v>
      </c>
      <c r="P330" t="str">
        <f t="shared" si="113"/>
        <v>治疗费</v>
      </c>
    </row>
    <row r="331" spans="1:16">
      <c r="A331" t="str">
        <f>"坐浴"</f>
        <v>坐浴</v>
      </c>
      <c r="B331">
        <v>121200001</v>
      </c>
      <c r="C331" t="str">
        <f t="shared" si="110"/>
        <v>其他</v>
      </c>
      <c r="D331" t="str">
        <f>"001212000010000"</f>
        <v>001212000010000</v>
      </c>
      <c r="G331">
        <v>3.9</v>
      </c>
      <c r="I331" t="str">
        <f t="shared" si="111"/>
        <v>次</v>
      </c>
      <c r="K331" t="str">
        <f>"ZY"</f>
        <v>ZY</v>
      </c>
      <c r="L331" t="str">
        <f>"WI"</f>
        <v>WI</v>
      </c>
      <c r="M331">
        <v>3.9</v>
      </c>
      <c r="N331">
        <v>121200001</v>
      </c>
      <c r="O331" t="str">
        <f t="shared" si="112"/>
        <v>次</v>
      </c>
      <c r="P331" t="str">
        <f t="shared" si="113"/>
        <v>治疗费</v>
      </c>
    </row>
    <row r="332" spans="1:16">
      <c r="A332" t="str">
        <f>"冷热湿敷"</f>
        <v>冷热湿敷</v>
      </c>
      <c r="B332">
        <v>121300001</v>
      </c>
      <c r="C332" t="str">
        <f t="shared" si="110"/>
        <v>其他</v>
      </c>
      <c r="D332" t="str">
        <f>"001213000010000"</f>
        <v>001213000010000</v>
      </c>
      <c r="G332">
        <v>3.9</v>
      </c>
      <c r="I332" t="str">
        <f t="shared" si="111"/>
        <v>次</v>
      </c>
      <c r="K332" t="str">
        <f>"LRSF"</f>
        <v>LRSF</v>
      </c>
      <c r="L332" t="str">
        <f>"URIG"</f>
        <v>URIG</v>
      </c>
      <c r="M332">
        <v>3.9</v>
      </c>
      <c r="N332">
        <v>121300001</v>
      </c>
      <c r="O332" t="str">
        <f t="shared" si="112"/>
        <v>次</v>
      </c>
      <c r="P332" t="str">
        <f t="shared" si="113"/>
        <v>治疗费</v>
      </c>
    </row>
    <row r="333" spans="1:16">
      <c r="A333" t="str">
        <f>"灌肠"</f>
        <v>灌肠</v>
      </c>
      <c r="B333">
        <v>121500001</v>
      </c>
      <c r="C333" t="str">
        <f t="shared" si="110"/>
        <v>其他</v>
      </c>
      <c r="D333" t="str">
        <f>"001215000010000"</f>
        <v>001215000010000</v>
      </c>
      <c r="G333">
        <v>13</v>
      </c>
      <c r="I333" t="str">
        <f t="shared" si="111"/>
        <v>次</v>
      </c>
      <c r="K333" t="str">
        <f>"GC"</f>
        <v>GC</v>
      </c>
      <c r="L333" t="str">
        <f>"IE"</f>
        <v>IE</v>
      </c>
      <c r="M333">
        <v>13</v>
      </c>
      <c r="N333">
        <v>121500001</v>
      </c>
      <c r="O333" t="str">
        <f t="shared" si="112"/>
        <v>次</v>
      </c>
      <c r="P333" t="str">
        <f t="shared" si="113"/>
        <v>治疗费</v>
      </c>
    </row>
    <row r="334" spans="1:16">
      <c r="A334" t="str">
        <f>"清洁灌肠"</f>
        <v>清洁灌肠</v>
      </c>
      <c r="B334">
        <v>121500002</v>
      </c>
      <c r="C334" t="str">
        <f t="shared" si="110"/>
        <v>其他</v>
      </c>
      <c r="D334" t="str">
        <f>"001215000020000"</f>
        <v>001215000020000</v>
      </c>
      <c r="G334">
        <v>26</v>
      </c>
      <c r="I334" t="str">
        <f t="shared" si="111"/>
        <v>次</v>
      </c>
      <c r="K334" t="str">
        <f>"QJGC"</f>
        <v>QJGC</v>
      </c>
      <c r="L334" t="str">
        <f>"IIIE"</f>
        <v>IIIE</v>
      </c>
      <c r="M334">
        <v>26</v>
      </c>
      <c r="N334">
        <v>121500002</v>
      </c>
      <c r="O334" t="str">
        <f t="shared" si="112"/>
        <v>次</v>
      </c>
      <c r="P334" t="str">
        <f t="shared" si="113"/>
        <v>治疗费</v>
      </c>
    </row>
    <row r="335" spans="1:16">
      <c r="A335" t="str">
        <f>"导尿"</f>
        <v>导尿</v>
      </c>
      <c r="B335">
        <v>121600001</v>
      </c>
      <c r="C335" t="str">
        <f t="shared" si="110"/>
        <v>其他</v>
      </c>
      <c r="D335" t="str">
        <f>"001216000010000"</f>
        <v>001216000010000</v>
      </c>
      <c r="G335">
        <v>5.2</v>
      </c>
      <c r="I335" t="str">
        <f t="shared" si="111"/>
        <v>次</v>
      </c>
      <c r="K335" t="str">
        <f>"DN"</f>
        <v>DN</v>
      </c>
      <c r="L335" t="str">
        <f>"NN"</f>
        <v>NN</v>
      </c>
      <c r="M335">
        <v>5.2</v>
      </c>
      <c r="N335">
        <v>121600001</v>
      </c>
      <c r="O335" t="str">
        <f t="shared" si="112"/>
        <v>次</v>
      </c>
      <c r="P335" t="str">
        <f t="shared" si="113"/>
        <v>治疗费</v>
      </c>
    </row>
    <row r="336" spans="1:16">
      <c r="A336" t="str">
        <f>"一次性使用无菌导尿包"</f>
        <v>一次性使用无菌导尿包</v>
      </c>
      <c r="B336" t="str">
        <f>"121600001-1-2"</f>
        <v>121600001-1-2</v>
      </c>
      <c r="C336" t="str">
        <f>"材料"</f>
        <v>材料</v>
      </c>
      <c r="G336">
        <v>48</v>
      </c>
      <c r="I336" t="str">
        <f>"双腔成人用12Fr 5ml-10ml"</f>
        <v>双腔成人用12Fr 5ml-10ml</v>
      </c>
      <c r="K336" t="str">
        <f>"YCXSYWJDNB"</f>
        <v>YCXSYWJDNB</v>
      </c>
      <c r="L336" t="str">
        <f>"GUNWEFANNQ"</f>
        <v>GUNWEFANNQ</v>
      </c>
      <c r="M336">
        <v>66</v>
      </c>
      <c r="O336" t="str">
        <f>"个"</f>
        <v>个</v>
      </c>
      <c r="P336" t="str">
        <f>"材料费"</f>
        <v>材料费</v>
      </c>
    </row>
    <row r="337" spans="1:16">
      <c r="A337" t="str">
        <f>"留置导尿加收"</f>
        <v>留置导尿加收</v>
      </c>
      <c r="B337" t="str">
        <f>"121600001-a"</f>
        <v>121600001-a</v>
      </c>
      <c r="C337" t="str">
        <f t="shared" ref="C337:C339" si="114">"其他"</f>
        <v>其他</v>
      </c>
      <c r="D337" t="str">
        <f>"001216000010100"</f>
        <v>001216000010100</v>
      </c>
      <c r="G337">
        <v>1.3</v>
      </c>
      <c r="I337" t="str">
        <f>"日"</f>
        <v>日</v>
      </c>
      <c r="K337" t="str">
        <f>"LZDNJS"</f>
        <v>LZDNJS</v>
      </c>
      <c r="L337" t="str">
        <f>"QLNNLN"</f>
        <v>QLNNLN</v>
      </c>
      <c r="M337">
        <v>1.3</v>
      </c>
      <c r="N337" t="str">
        <f>"121600001-a"</f>
        <v>121600001-a</v>
      </c>
      <c r="O337" t="str">
        <f>"日"</f>
        <v>日</v>
      </c>
      <c r="P337" t="str">
        <f t="shared" ref="P337:P340" si="115">"治疗费"</f>
        <v>治疗费</v>
      </c>
    </row>
    <row r="338" spans="1:16">
      <c r="A338" t="str">
        <f>"肛管排气"</f>
        <v>肛管排气</v>
      </c>
      <c r="B338">
        <v>121700001</v>
      </c>
      <c r="C338" t="str">
        <f t="shared" si="114"/>
        <v>其他</v>
      </c>
      <c r="D338" t="str">
        <f>"001217000010000"</f>
        <v>001217000010000</v>
      </c>
      <c r="G338">
        <v>3.9</v>
      </c>
      <c r="I338" t="str">
        <f t="shared" ref="I338:I350" si="116">"次"</f>
        <v>次</v>
      </c>
      <c r="K338" t="str">
        <f>"GGPQ"</f>
        <v>GGPQ</v>
      </c>
      <c r="L338" t="str">
        <f>"ETRR"</f>
        <v>ETRR</v>
      </c>
      <c r="M338">
        <v>3.9</v>
      </c>
      <c r="N338">
        <v>121700001</v>
      </c>
      <c r="O338" t="str">
        <f t="shared" ref="O338:O352" si="117">"次"</f>
        <v>次</v>
      </c>
      <c r="P338" t="str">
        <f t="shared" si="115"/>
        <v>治疗费</v>
      </c>
    </row>
    <row r="339" spans="1:16">
      <c r="A339" t="str">
        <f>"婴幼儿健康体检"</f>
        <v>婴幼儿健康体检</v>
      </c>
      <c r="B339">
        <v>130100001</v>
      </c>
      <c r="C339" t="str">
        <f t="shared" si="114"/>
        <v>其他</v>
      </c>
      <c r="D339" t="str">
        <f>"001301000010000"</f>
        <v>001301000010000</v>
      </c>
      <c r="G339">
        <v>5</v>
      </c>
      <c r="I339">
        <v>1</v>
      </c>
      <c r="K339" t="str">
        <f>"YYEJKTJ"</f>
        <v>YYEJKTJ</v>
      </c>
      <c r="L339" t="str">
        <f>"MXQWYWS"</f>
        <v>MXQWYWS</v>
      </c>
      <c r="M339">
        <v>6</v>
      </c>
      <c r="N339">
        <v>130100001</v>
      </c>
      <c r="O339" t="str">
        <f>"每次"</f>
        <v>每次</v>
      </c>
      <c r="P339" t="str">
        <f>"体检费"</f>
        <v>体检费</v>
      </c>
    </row>
    <row r="340" spans="1:16">
      <c r="A340" t="str">
        <f>"儿童龋齿预防保健"</f>
        <v>儿童龋齿预防保健</v>
      </c>
      <c r="B340">
        <v>130200001</v>
      </c>
      <c r="C340" t="str">
        <f>"治疗"</f>
        <v>治疗</v>
      </c>
      <c r="D340" t="str">
        <f>"001302000010000"</f>
        <v>001302000010000</v>
      </c>
      <c r="G340">
        <v>1</v>
      </c>
      <c r="I340" t="str">
        <f t="shared" si="116"/>
        <v>次</v>
      </c>
      <c r="K340" t="str">
        <f>"ETQCYFBJ"</f>
        <v>ETQCYFBJ</v>
      </c>
      <c r="L340" t="str">
        <f>"QUHHCBWW"</f>
        <v>QUHHCBWW</v>
      </c>
      <c r="M340">
        <v>1.2</v>
      </c>
      <c r="N340">
        <v>130200001</v>
      </c>
      <c r="O340" t="str">
        <f t="shared" si="117"/>
        <v>次</v>
      </c>
      <c r="P340" t="str">
        <f t="shared" si="115"/>
        <v>治疗费</v>
      </c>
    </row>
    <row r="341" spans="1:16">
      <c r="A341" t="str">
        <f>"家庭巡诊"</f>
        <v>家庭巡诊</v>
      </c>
      <c r="B341">
        <v>130300001</v>
      </c>
      <c r="C341" t="str">
        <f t="shared" ref="C341:C353" si="118">"其他"</f>
        <v>其他</v>
      </c>
      <c r="D341" t="str">
        <f>"001303000010000"</f>
        <v>001303000010000</v>
      </c>
      <c r="G341">
        <v>20</v>
      </c>
      <c r="I341" t="str">
        <f t="shared" si="116"/>
        <v>次</v>
      </c>
      <c r="K341" t="str">
        <f>"JTXZ"</f>
        <v>JTXZ</v>
      </c>
      <c r="L341" t="str">
        <f>"PYVY"</f>
        <v>PYVY</v>
      </c>
      <c r="M341">
        <v>20</v>
      </c>
      <c r="N341">
        <v>130300001</v>
      </c>
      <c r="O341" t="str">
        <f t="shared" si="117"/>
        <v>次</v>
      </c>
      <c r="P341" t="str">
        <f t="shared" ref="P341:P350" si="119">"服务收入"</f>
        <v>服务收入</v>
      </c>
    </row>
    <row r="342" spans="1:16">
      <c r="A342" t="str">
        <f>"围产保健访视"</f>
        <v>围产保健访视</v>
      </c>
      <c r="B342">
        <v>130400001</v>
      </c>
      <c r="C342" t="str">
        <f t="shared" si="118"/>
        <v>其他</v>
      </c>
      <c r="D342" t="str">
        <f>"001304000010000"</f>
        <v>001304000010000</v>
      </c>
      <c r="G342">
        <v>10</v>
      </c>
      <c r="I342" t="str">
        <f t="shared" si="116"/>
        <v>次</v>
      </c>
      <c r="K342" t="str">
        <f>"WCBJFS"</f>
        <v>WCBJFS</v>
      </c>
      <c r="L342" t="str">
        <f>"LUWWYP"</f>
        <v>LUWWYP</v>
      </c>
      <c r="M342">
        <v>10</v>
      </c>
      <c r="N342">
        <v>130400001</v>
      </c>
      <c r="O342" t="str">
        <f t="shared" si="117"/>
        <v>次</v>
      </c>
      <c r="P342" t="str">
        <f t="shared" si="119"/>
        <v>服务收入</v>
      </c>
    </row>
    <row r="343" spans="1:16">
      <c r="A343" t="str">
        <f>"传染病访视"</f>
        <v>传染病访视</v>
      </c>
      <c r="B343">
        <v>130500001</v>
      </c>
      <c r="C343" t="str">
        <f t="shared" si="118"/>
        <v>其他</v>
      </c>
      <c r="D343" t="str">
        <f>"001305000010000"</f>
        <v>001305000010000</v>
      </c>
      <c r="G343">
        <v>10</v>
      </c>
      <c r="I343" t="str">
        <f t="shared" si="116"/>
        <v>次</v>
      </c>
      <c r="K343" t="str">
        <f>"CRBFS"</f>
        <v>CRBFS</v>
      </c>
      <c r="L343" t="str">
        <f>"WIUYP"</f>
        <v>WIUYP</v>
      </c>
      <c r="M343">
        <v>11</v>
      </c>
      <c r="N343">
        <v>130500001</v>
      </c>
      <c r="O343" t="str">
        <f t="shared" si="117"/>
        <v>次</v>
      </c>
      <c r="P343" t="str">
        <f t="shared" si="119"/>
        <v>服务收入</v>
      </c>
    </row>
    <row r="344" spans="1:16">
      <c r="A344" t="str">
        <f>"家庭病床建床费"</f>
        <v>家庭病床建床费</v>
      </c>
      <c r="B344">
        <v>130600001</v>
      </c>
      <c r="C344" t="str">
        <f t="shared" si="118"/>
        <v>其他</v>
      </c>
      <c r="D344" t="str">
        <f>"001306000010000"</f>
        <v>001306000010000</v>
      </c>
      <c r="G344">
        <v>50</v>
      </c>
      <c r="I344" t="str">
        <f t="shared" si="116"/>
        <v>次</v>
      </c>
      <c r="K344" t="str">
        <f>"JTBCJCF"</f>
        <v>JTBCJCF</v>
      </c>
      <c r="L344" t="str">
        <f>"PYUYVYX"</f>
        <v>PYUYVYX</v>
      </c>
      <c r="M344">
        <v>52</v>
      </c>
      <c r="N344">
        <v>130600001</v>
      </c>
      <c r="O344" t="str">
        <f t="shared" si="117"/>
        <v>次</v>
      </c>
      <c r="P344" t="str">
        <f t="shared" si="119"/>
        <v>服务收入</v>
      </c>
    </row>
    <row r="345" spans="1:16">
      <c r="A345" t="str">
        <f>"家庭病床巡诊费"</f>
        <v>家庭病床巡诊费</v>
      </c>
      <c r="B345">
        <v>130600002</v>
      </c>
      <c r="C345" t="str">
        <f t="shared" si="118"/>
        <v>其他</v>
      </c>
      <c r="D345" t="str">
        <f>"001306000020000"</f>
        <v>001306000020000</v>
      </c>
      <c r="G345">
        <v>30</v>
      </c>
      <c r="I345" t="str">
        <f t="shared" si="116"/>
        <v>次</v>
      </c>
      <c r="K345" t="str">
        <f>"JTBCXZF"</f>
        <v>JTBCXZF</v>
      </c>
      <c r="L345" t="str">
        <f>"PYUYVYX"</f>
        <v>PYUYVYX</v>
      </c>
      <c r="M345">
        <v>32</v>
      </c>
      <c r="N345">
        <v>130600002</v>
      </c>
      <c r="O345" t="str">
        <f t="shared" si="117"/>
        <v>次</v>
      </c>
      <c r="P345" t="str">
        <f t="shared" si="119"/>
        <v>服务收入</v>
      </c>
    </row>
    <row r="346" spans="1:16">
      <c r="A346" t="str">
        <f>"出诊费"</f>
        <v>出诊费</v>
      </c>
      <c r="B346">
        <v>130700001</v>
      </c>
      <c r="C346" t="str">
        <f t="shared" si="118"/>
        <v>其他</v>
      </c>
      <c r="D346" t="str">
        <f>"001307000010000"</f>
        <v>001307000010000</v>
      </c>
      <c r="G346">
        <v>42</v>
      </c>
      <c r="I346" t="str">
        <f t="shared" si="116"/>
        <v>次</v>
      </c>
      <c r="K346" t="str">
        <f>"CZ"</f>
        <v>CZ</v>
      </c>
      <c r="L346" t="str">
        <f>"BY"</f>
        <v>BY</v>
      </c>
      <c r="M346">
        <v>42</v>
      </c>
      <c r="N346">
        <v>130700001</v>
      </c>
      <c r="O346" t="str">
        <f t="shared" si="117"/>
        <v>次</v>
      </c>
      <c r="P346" t="str">
        <f t="shared" si="119"/>
        <v>服务收入</v>
      </c>
    </row>
    <row r="347" spans="1:16">
      <c r="A347" t="str">
        <f>"出诊费（副高以上职称）"</f>
        <v>出诊费（副高以上职称）</v>
      </c>
      <c r="B347" t="str">
        <f>"130700001-a"</f>
        <v>130700001-a</v>
      </c>
      <c r="C347" t="str">
        <f t="shared" si="118"/>
        <v>其他</v>
      </c>
      <c r="D347" t="str">
        <f>"001307000010001"</f>
        <v>001307000010001</v>
      </c>
      <c r="G347">
        <v>57</v>
      </c>
      <c r="I347" t="str">
        <f t="shared" si="116"/>
        <v>次</v>
      </c>
      <c r="K347" t="str">
        <f>"CZFGZCYS"</f>
        <v>CZFGZCYS</v>
      </c>
      <c r="L347" t="str">
        <f>"BYGYBTCH"</f>
        <v>BYGYBTCH</v>
      </c>
      <c r="M347">
        <v>57</v>
      </c>
      <c r="N347" t="str">
        <f>"130700001-a"</f>
        <v>130700001-a</v>
      </c>
      <c r="O347" t="str">
        <f t="shared" si="117"/>
        <v>次</v>
      </c>
      <c r="P347" t="str">
        <f t="shared" si="119"/>
        <v>服务收入</v>
      </c>
    </row>
    <row r="348" spans="1:16">
      <c r="A348" t="str">
        <f>"建立健康档案"</f>
        <v>建立健康档案</v>
      </c>
      <c r="B348">
        <v>130800001</v>
      </c>
      <c r="C348" t="str">
        <f t="shared" si="118"/>
        <v>其他</v>
      </c>
      <c r="D348" t="str">
        <f>"001308000010000"</f>
        <v>001308000010000</v>
      </c>
      <c r="G348">
        <v>2</v>
      </c>
      <c r="I348" t="str">
        <f t="shared" si="116"/>
        <v>次</v>
      </c>
      <c r="K348" t="str">
        <f>"JLJKDA"</f>
        <v>JLJKDA</v>
      </c>
      <c r="L348" t="str">
        <f>"VUWYSP"</f>
        <v>VUWYSP</v>
      </c>
      <c r="M348">
        <v>2.5</v>
      </c>
      <c r="N348">
        <v>130800001</v>
      </c>
      <c r="O348" t="str">
        <f t="shared" si="117"/>
        <v>次</v>
      </c>
      <c r="P348" t="str">
        <f t="shared" si="119"/>
        <v>服务收入</v>
      </c>
    </row>
    <row r="349" spans="1:16">
      <c r="A349" t="str">
        <f>"健康咨询"</f>
        <v>健康咨询</v>
      </c>
      <c r="B349">
        <v>130900001</v>
      </c>
      <c r="C349" t="str">
        <f t="shared" si="118"/>
        <v>其他</v>
      </c>
      <c r="D349" t="str">
        <f>"001309000010000"</f>
        <v>001309000010000</v>
      </c>
      <c r="G349">
        <v>5</v>
      </c>
      <c r="I349" t="str">
        <f t="shared" si="116"/>
        <v>次</v>
      </c>
      <c r="K349" t="str">
        <f>"JKZX"</f>
        <v>JKZX</v>
      </c>
      <c r="L349" t="str">
        <f>"WYUY"</f>
        <v>WYUY</v>
      </c>
      <c r="M349">
        <v>6</v>
      </c>
      <c r="N349">
        <v>130900001</v>
      </c>
      <c r="O349" t="str">
        <f t="shared" si="117"/>
        <v>次</v>
      </c>
      <c r="P349" t="str">
        <f t="shared" si="119"/>
        <v>服务收入</v>
      </c>
    </row>
    <row r="350" spans="1:16">
      <c r="A350" t="str">
        <f>"疾病健康教育"</f>
        <v>疾病健康教育</v>
      </c>
      <c r="B350">
        <v>130900002</v>
      </c>
      <c r="C350" t="str">
        <f t="shared" si="118"/>
        <v>其他</v>
      </c>
      <c r="D350" t="str">
        <f>"001309000020000"</f>
        <v>001309000020000</v>
      </c>
      <c r="G350">
        <v>2</v>
      </c>
      <c r="I350" t="str">
        <f t="shared" si="116"/>
        <v>次</v>
      </c>
      <c r="K350" t="str">
        <f>"JBJKJY"</f>
        <v>JBJKJY</v>
      </c>
      <c r="L350" t="str">
        <f>"UUWYFY"</f>
        <v>UUWYFY</v>
      </c>
      <c r="M350">
        <v>2.5</v>
      </c>
      <c r="N350">
        <v>130900002</v>
      </c>
      <c r="O350" t="str">
        <f t="shared" si="117"/>
        <v>次</v>
      </c>
      <c r="P350" t="str">
        <f t="shared" si="119"/>
        <v>服务收入</v>
      </c>
    </row>
    <row r="351" spans="1:16">
      <c r="A351" t="str">
        <f>"一般诊疗费"</f>
        <v>一般诊疗费</v>
      </c>
      <c r="B351">
        <v>1311</v>
      </c>
      <c r="C351" t="str">
        <f t="shared" si="118"/>
        <v>其他</v>
      </c>
      <c r="D351" t="str">
        <f>"001101000010000"</f>
        <v>001101000010000</v>
      </c>
      <c r="G351">
        <v>10</v>
      </c>
      <c r="I351">
        <v>1</v>
      </c>
      <c r="K351" t="str">
        <f>"YBZLF"</f>
        <v>YBZLF</v>
      </c>
      <c r="L351" t="str">
        <f>"GTYUX"</f>
        <v>GTYUX</v>
      </c>
      <c r="M351">
        <v>10</v>
      </c>
      <c r="N351">
        <v>1311</v>
      </c>
      <c r="O351" t="str">
        <f t="shared" si="117"/>
        <v>次</v>
      </c>
      <c r="P351" t="str">
        <f>"一般诊疗费"</f>
        <v>一般诊疗费</v>
      </c>
    </row>
    <row r="352" spans="1:16">
      <c r="A352" t="str">
        <f>"主任医师一般诊疗费"</f>
        <v>主任医师一般诊疗费</v>
      </c>
      <c r="B352">
        <v>131100001</v>
      </c>
      <c r="C352" t="str">
        <f t="shared" si="118"/>
        <v>其他</v>
      </c>
      <c r="D352" t="str">
        <f>"001102000010100"</f>
        <v>001102000010100</v>
      </c>
      <c r="G352">
        <v>23</v>
      </c>
      <c r="I352" t="str">
        <f>"次"</f>
        <v>次</v>
      </c>
      <c r="K352" t="str">
        <f>"ZRYSYBZLF"</f>
        <v>ZRYSYBZLF</v>
      </c>
      <c r="L352" t="str">
        <f>"YWAJGTYUX"</f>
        <v>YWAJGTYUX</v>
      </c>
      <c r="M352">
        <v>23</v>
      </c>
      <c r="N352">
        <v>131100001</v>
      </c>
      <c r="O352" t="str">
        <f t="shared" si="117"/>
        <v>次</v>
      </c>
      <c r="P352" t="str">
        <f>"诊查费"</f>
        <v>诊查费</v>
      </c>
    </row>
    <row r="353" spans="1:16">
      <c r="A353" t="str">
        <f>"副主任医师一般诊疗费"</f>
        <v>副主任医师一般诊疗费</v>
      </c>
      <c r="B353">
        <v>131100002</v>
      </c>
      <c r="C353" t="str">
        <f t="shared" si="118"/>
        <v>其他</v>
      </c>
      <c r="D353" t="str">
        <f>"001102000010200"</f>
        <v>001102000010200</v>
      </c>
      <c r="G353">
        <v>14</v>
      </c>
      <c r="I353" t="str">
        <f>"次"</f>
        <v>次</v>
      </c>
      <c r="K353" t="str">
        <f>"FZRYSYBZLF"</f>
        <v>FZRYSYBZLF</v>
      </c>
      <c r="L353" t="str">
        <f>"GYWAJGTYUX"</f>
        <v>GYWAJGTYUX</v>
      </c>
      <c r="M353">
        <v>14</v>
      </c>
      <c r="N353">
        <v>131100002</v>
      </c>
      <c r="O353" t="str">
        <f>"每次"</f>
        <v>每次</v>
      </c>
      <c r="P353" t="str">
        <f>"诊查费"</f>
        <v>诊查费</v>
      </c>
    </row>
    <row r="354" spans="1:16">
      <c r="A354" t="str">
        <f>"运动功能训练"</f>
        <v>运动功能训练</v>
      </c>
      <c r="B354" t="str">
        <f>"15200000050000"</f>
        <v>15200000050000</v>
      </c>
      <c r="C354" t="str">
        <f>"治疗"</f>
        <v>治疗</v>
      </c>
      <c r="G354">
        <v>90</v>
      </c>
      <c r="I354">
        <v>1</v>
      </c>
      <c r="K354" t="str">
        <f>"YDGNXL"</f>
        <v>YDGNXL</v>
      </c>
      <c r="L354" t="str">
        <f>"FFACYX"</f>
        <v>FFACYX</v>
      </c>
      <c r="M354">
        <v>90</v>
      </c>
      <c r="O354" t="str">
        <f>"半小时"</f>
        <v>半小时</v>
      </c>
      <c r="P354" t="str">
        <f>"治疗费"</f>
        <v>治疗费</v>
      </c>
    </row>
    <row r="355" spans="1:16">
      <c r="A355" t="str">
        <f>"运动功能训练-每增加10分钟（加收）"</f>
        <v>运动功能训练-每增加10分钟（加收）</v>
      </c>
      <c r="B355" t="str">
        <f>"15200000050001"</f>
        <v>15200000050001</v>
      </c>
      <c r="C355" t="str">
        <f>"治疗"</f>
        <v>治疗</v>
      </c>
      <c r="G355">
        <v>29.7</v>
      </c>
      <c r="I355">
        <v>1</v>
      </c>
      <c r="K355" t="str">
        <f>"YDGNXLMZJ10FZJS"</f>
        <v>YDGNXLMZJ10FZJS</v>
      </c>
      <c r="L355" t="str">
        <f>"FFACYXTFL10WQLN"</f>
        <v>FFACYXTFL10WQLN</v>
      </c>
      <c r="M355">
        <v>29.7</v>
      </c>
      <c r="O355" t="str">
        <f>"【未知代码:10分钟】"</f>
        <v>【未知代码:10分钟】</v>
      </c>
      <c r="P355" t="str">
        <f>"治疗费"</f>
        <v>治疗费</v>
      </c>
    </row>
    <row r="356" spans="1:16">
      <c r="A356" t="str">
        <f>"医用激光胶片"</f>
        <v>医用激光胶片</v>
      </c>
      <c r="B356" t="str">
        <f>"2101-2"</f>
        <v>2101-2</v>
      </c>
      <c r="C356" t="str">
        <f>"材料"</f>
        <v>材料</v>
      </c>
      <c r="G356">
        <v>17</v>
      </c>
      <c r="I356" t="str">
        <f>"A3"</f>
        <v>A3</v>
      </c>
      <c r="K356" t="str">
        <f>"YYJGJP"</f>
        <v>YYJGJP</v>
      </c>
      <c r="L356" t="str">
        <f>"AEIIET"</f>
        <v>AEIIET</v>
      </c>
      <c r="M356">
        <v>17</v>
      </c>
      <c r="O356" t="str">
        <f>"张"</f>
        <v>张</v>
      </c>
      <c r="P356" t="str">
        <f>"材料费"</f>
        <v>材料费</v>
      </c>
    </row>
    <row r="357" spans="1:16">
      <c r="A357" t="str">
        <f>"普通透视"</f>
        <v>普通透视</v>
      </c>
      <c r="B357">
        <v>210101001</v>
      </c>
      <c r="C357" t="str">
        <f t="shared" ref="C357:C361" si="120">"其他"</f>
        <v>其他</v>
      </c>
      <c r="D357" t="str">
        <f>"002101010010000"</f>
        <v>002101010010000</v>
      </c>
      <c r="G357">
        <v>5</v>
      </c>
      <c r="I357" t="str">
        <f>"每个部位"</f>
        <v>每个部位</v>
      </c>
      <c r="K357" t="str">
        <f>"PTTS"</f>
        <v>PTTS</v>
      </c>
      <c r="L357" t="str">
        <f>"UCTP"</f>
        <v>UCTP</v>
      </c>
      <c r="M357">
        <v>5</v>
      </c>
      <c r="N357">
        <v>210101001</v>
      </c>
      <c r="O357" t="str">
        <f>"每个部位"</f>
        <v>每个部位</v>
      </c>
      <c r="P357" t="str">
        <f t="shared" ref="P357:P361" si="121">"放射费"</f>
        <v>放射费</v>
      </c>
    </row>
    <row r="358" spans="1:16">
      <c r="A358" t="str">
        <f>"食管钡餐透视"</f>
        <v>食管钡餐透视</v>
      </c>
      <c r="B358">
        <v>210101002</v>
      </c>
      <c r="C358" t="str">
        <f t="shared" si="120"/>
        <v>其他</v>
      </c>
      <c r="D358" t="str">
        <f>"002101010020000"</f>
        <v>002101010020000</v>
      </c>
      <c r="G358">
        <v>6</v>
      </c>
      <c r="I358" t="str">
        <f t="shared" ref="I358:I360" si="122">"次"</f>
        <v>次</v>
      </c>
      <c r="K358" t="str">
        <f>"SGBCTS"</f>
        <v>SGBCTS</v>
      </c>
      <c r="L358" t="str">
        <f>"WTQHTP"</f>
        <v>WTQHTP</v>
      </c>
      <c r="M358">
        <v>6</v>
      </c>
      <c r="N358">
        <v>210101002</v>
      </c>
      <c r="O358" t="str">
        <f t="shared" ref="O358:O360" si="123">"次"</f>
        <v>次</v>
      </c>
      <c r="P358" t="str">
        <f t="shared" si="121"/>
        <v>放射费</v>
      </c>
    </row>
    <row r="359" spans="1:16">
      <c r="A359" t="str">
        <f>"胃肠排空试验"</f>
        <v>胃肠排空试验</v>
      </c>
      <c r="B359">
        <v>210103014</v>
      </c>
      <c r="C359" t="str">
        <f t="shared" si="120"/>
        <v>其他</v>
      </c>
      <c r="D359" t="str">
        <f>"002101030140000"</f>
        <v>002101030140000</v>
      </c>
      <c r="G359">
        <v>60</v>
      </c>
      <c r="I359" t="str">
        <f t="shared" si="122"/>
        <v>次</v>
      </c>
      <c r="K359" t="str">
        <f>"WCPKSY"</f>
        <v>WCPKSY</v>
      </c>
      <c r="L359" t="str">
        <f>"LERPYC"</f>
        <v>LERPYC</v>
      </c>
      <c r="M359">
        <v>60</v>
      </c>
      <c r="N359">
        <v>210103014</v>
      </c>
      <c r="O359" t="str">
        <f t="shared" si="123"/>
        <v>次</v>
      </c>
      <c r="P359" t="str">
        <f t="shared" si="121"/>
        <v>放射费</v>
      </c>
    </row>
    <row r="360" spans="1:16">
      <c r="A360" t="str">
        <f>"院外影像学会诊"</f>
        <v>院外影像学会诊</v>
      </c>
      <c r="B360">
        <v>210400001</v>
      </c>
      <c r="C360" t="str">
        <f t="shared" si="120"/>
        <v>其他</v>
      </c>
      <c r="D360" t="str">
        <f>"002104000010000"</f>
        <v>002104000010000</v>
      </c>
      <c r="G360">
        <v>40</v>
      </c>
      <c r="I360" t="str">
        <f t="shared" si="122"/>
        <v>次</v>
      </c>
      <c r="K360" t="str">
        <f>"YWYXXHZ"</f>
        <v>YWYXXHZ</v>
      </c>
      <c r="L360" t="str">
        <f>"BQJWIWY"</f>
        <v>BQJWIWY</v>
      </c>
      <c r="M360">
        <v>40</v>
      </c>
      <c r="N360">
        <v>210400001</v>
      </c>
      <c r="O360" t="str">
        <f t="shared" si="123"/>
        <v>次</v>
      </c>
      <c r="P360" t="str">
        <f t="shared" si="121"/>
        <v>放射费</v>
      </c>
    </row>
    <row r="361" spans="1:16">
      <c r="A361" t="str">
        <f>"红外热象检查"</f>
        <v>红外热象检查</v>
      </c>
      <c r="B361">
        <v>210500001</v>
      </c>
      <c r="C361" t="str">
        <f t="shared" si="120"/>
        <v>其他</v>
      </c>
      <c r="D361" t="str">
        <f>"002105000010000"</f>
        <v>002105000010000</v>
      </c>
      <c r="G361">
        <v>30</v>
      </c>
      <c r="I361" t="str">
        <f>"每个部位"</f>
        <v>每个部位</v>
      </c>
      <c r="K361" t="str">
        <f>"HWRXJC"</f>
        <v>HWRXJC</v>
      </c>
      <c r="L361" t="str">
        <f>"XQRQSS"</f>
        <v>XQRQSS</v>
      </c>
      <c r="M361">
        <v>30</v>
      </c>
      <c r="N361">
        <v>210500001</v>
      </c>
      <c r="O361" t="str">
        <f>"每个部位"</f>
        <v>每个部位</v>
      </c>
      <c r="P361" t="str">
        <f t="shared" si="121"/>
        <v>放射费</v>
      </c>
    </row>
    <row r="362" spans="1:16">
      <c r="A362" t="str">
        <f>"红外线乳腺检查"</f>
        <v>红外线乳腺检查</v>
      </c>
      <c r="B362">
        <v>210500002</v>
      </c>
      <c r="C362" t="str">
        <f>"检查"</f>
        <v>检查</v>
      </c>
      <c r="D362" t="str">
        <f>"002105000020000"</f>
        <v>002105000020000</v>
      </c>
      <c r="G362">
        <v>40</v>
      </c>
      <c r="I362" t="str">
        <f>"单侧"</f>
        <v>单侧</v>
      </c>
      <c r="K362" t="str">
        <f>"HWXRXJC"</f>
        <v>HWXRXJC</v>
      </c>
      <c r="L362" t="str">
        <f>"XQXEESS"</f>
        <v>XQXEESS</v>
      </c>
      <c r="M362">
        <v>40</v>
      </c>
      <c r="N362">
        <v>210500002</v>
      </c>
      <c r="O362" t="str">
        <f>"单侧"</f>
        <v>单侧</v>
      </c>
      <c r="P362" t="str">
        <f>"检查费"</f>
        <v>检查费</v>
      </c>
    </row>
    <row r="363" spans="1:16">
      <c r="A363" t="str">
        <f>"医用超声耦合剂"</f>
        <v>医用超声耦合剂</v>
      </c>
      <c r="B363" t="str">
        <f>"22-1-1"</f>
        <v>22-1-1</v>
      </c>
      <c r="C363" t="str">
        <f>"材料"</f>
        <v>材料</v>
      </c>
      <c r="G363">
        <v>11.76</v>
      </c>
      <c r="I363" t="str">
        <f>"支"</f>
        <v>支</v>
      </c>
      <c r="K363" t="str">
        <f>"YYCSHJ"</f>
        <v>YYCSHJ</v>
      </c>
      <c r="L363" t="str">
        <f>"AEFFDWY"</f>
        <v>AEFFDWY</v>
      </c>
      <c r="M363">
        <v>12.6</v>
      </c>
      <c r="N363" t="str">
        <f>"22-1"</f>
        <v>22-1</v>
      </c>
      <c r="O363" t="str">
        <f>"支"</f>
        <v>支</v>
      </c>
      <c r="P363" t="str">
        <f>"材料费"</f>
        <v>材料费</v>
      </c>
    </row>
    <row r="364" spans="1:16">
      <c r="A364" t="str">
        <f>"浅表组织器官B超检查"</f>
        <v>浅表组织器官B超检查</v>
      </c>
      <c r="B364">
        <v>220201007</v>
      </c>
      <c r="C364" t="str">
        <f t="shared" ref="C364:C370" si="124">"其他"</f>
        <v>其他</v>
      </c>
      <c r="D364" t="str">
        <f>"002202010070000"</f>
        <v>002202010070000</v>
      </c>
      <c r="G364">
        <v>25</v>
      </c>
      <c r="I364" t="str">
        <f>"每个部位"</f>
        <v>每个部位</v>
      </c>
      <c r="K364" t="str">
        <f>"QBZZQGBCJC"</f>
        <v>QBZZQGBCJC</v>
      </c>
      <c r="L364" t="str">
        <f>"IGXXKPbFSS"</f>
        <v>IGXXKPbFSS</v>
      </c>
      <c r="M364">
        <v>25</v>
      </c>
      <c r="N364">
        <v>220201007</v>
      </c>
      <c r="O364" t="str">
        <f>"每个部位"</f>
        <v>每个部位</v>
      </c>
      <c r="P364" t="str">
        <f t="shared" ref="P364:P370" si="125">"超声费"</f>
        <v>超声费</v>
      </c>
    </row>
    <row r="365" spans="1:16">
      <c r="A365" t="str">
        <f>"临床操作的B超引导"</f>
        <v>临床操作的B超引导</v>
      </c>
      <c r="B365">
        <v>220201009</v>
      </c>
      <c r="C365" t="str">
        <f t="shared" si="124"/>
        <v>其他</v>
      </c>
      <c r="D365" t="str">
        <f>"002202010090000"</f>
        <v>002202010090000</v>
      </c>
      <c r="G365">
        <v>50</v>
      </c>
      <c r="I365" t="str">
        <f t="shared" ref="I365:I368" si="126">"次"</f>
        <v>次</v>
      </c>
      <c r="K365" t="str">
        <f>"LCCZDBCYD"</f>
        <v>LCCZDBCYD</v>
      </c>
      <c r="L365" t="str">
        <f>"JYRWRbFXN"</f>
        <v>JYRWRbFXN</v>
      </c>
      <c r="M365">
        <v>50</v>
      </c>
      <c r="N365">
        <v>220201009</v>
      </c>
      <c r="O365" t="str">
        <f t="shared" ref="O365:O370" si="127">"次"</f>
        <v>次</v>
      </c>
      <c r="P365" t="str">
        <f t="shared" si="125"/>
        <v>超声费</v>
      </c>
    </row>
    <row r="366" spans="1:16">
      <c r="A366" t="str">
        <f>"经阴道B超检查"</f>
        <v>经阴道B超检查</v>
      </c>
      <c r="B366">
        <v>220202001</v>
      </c>
      <c r="C366" t="str">
        <f t="shared" si="124"/>
        <v>其他</v>
      </c>
      <c r="D366" t="str">
        <f>"002202020010000"</f>
        <v>002202020010000</v>
      </c>
      <c r="G366">
        <v>35</v>
      </c>
      <c r="I366" t="str">
        <f t="shared" si="126"/>
        <v>次</v>
      </c>
      <c r="K366" t="str">
        <f>"JYDBCJC"</f>
        <v>JYDBCJC</v>
      </c>
      <c r="L366" t="str">
        <f>"XBUbFSS"</f>
        <v>XBUbFSS</v>
      </c>
      <c r="M366">
        <v>35</v>
      </c>
      <c r="N366">
        <v>220202001</v>
      </c>
      <c r="O366" t="str">
        <f t="shared" si="127"/>
        <v>次</v>
      </c>
      <c r="P366" t="str">
        <f t="shared" si="125"/>
        <v>超声费</v>
      </c>
    </row>
    <row r="367" spans="1:16">
      <c r="A367" t="str">
        <f>"经直肠B超检查*"</f>
        <v>经直肠B超检查*</v>
      </c>
      <c r="B367">
        <v>220202002</v>
      </c>
      <c r="C367" t="str">
        <f t="shared" si="124"/>
        <v>其他</v>
      </c>
      <c r="D367" t="str">
        <f>"002202020020000"</f>
        <v>002202020020000</v>
      </c>
      <c r="G367">
        <v>30</v>
      </c>
      <c r="I367" t="str">
        <f t="shared" si="126"/>
        <v>次</v>
      </c>
      <c r="K367" t="str">
        <f>"JZCBCJC*"</f>
        <v>JZCBCJC*</v>
      </c>
      <c r="L367" t="str">
        <f>"XFEBFSS"</f>
        <v>XFEBFSS</v>
      </c>
      <c r="M367">
        <v>30</v>
      </c>
      <c r="N367">
        <v>220202002</v>
      </c>
      <c r="O367" t="str">
        <f t="shared" si="127"/>
        <v>次</v>
      </c>
      <c r="P367" t="str">
        <f t="shared" si="125"/>
        <v>超声费</v>
      </c>
    </row>
    <row r="368" spans="1:16">
      <c r="A368" t="str">
        <f>"临床操作的腔内B超引导"</f>
        <v>临床操作的腔内B超引导</v>
      </c>
      <c r="B368">
        <v>220202003</v>
      </c>
      <c r="C368" t="str">
        <f t="shared" si="124"/>
        <v>其他</v>
      </c>
      <c r="D368" t="str">
        <f>"002202020030000"</f>
        <v>002202020030000</v>
      </c>
      <c r="G368">
        <v>60</v>
      </c>
      <c r="I368" t="str">
        <f t="shared" si="126"/>
        <v>次</v>
      </c>
      <c r="K368" t="str">
        <f>"LCCZDQNBCYD"</f>
        <v>LCCZDQNBCYD</v>
      </c>
      <c r="L368" t="str">
        <f>"JYRWREMbFXN"</f>
        <v>JYRWREMbFXN</v>
      </c>
      <c r="M368">
        <v>60</v>
      </c>
      <c r="N368">
        <v>220202003</v>
      </c>
      <c r="O368" t="str">
        <f t="shared" si="127"/>
        <v>次</v>
      </c>
      <c r="P368" t="str">
        <f t="shared" si="125"/>
        <v>超声费</v>
      </c>
    </row>
    <row r="369" spans="1:16">
      <c r="A369" t="str">
        <f>"胆囊和胆道收缩功能检查"</f>
        <v>胆囊和胆道收缩功能检查</v>
      </c>
      <c r="B369">
        <v>220203003</v>
      </c>
      <c r="C369" t="str">
        <f t="shared" si="124"/>
        <v>其他</v>
      </c>
      <c r="D369" t="str">
        <f>"002202030030000"</f>
        <v>002202030030000</v>
      </c>
      <c r="G369">
        <v>25</v>
      </c>
      <c r="I369" t="str">
        <f>"-"</f>
        <v>-</v>
      </c>
      <c r="K369" t="str">
        <f>"DNHDDSSGNJ"</f>
        <v>DNHDDSSGNJ</v>
      </c>
      <c r="L369" t="str">
        <f>"EGTEUNXACS"</f>
        <v>EGTEUNXACS</v>
      </c>
      <c r="M369">
        <v>25</v>
      </c>
      <c r="N369">
        <v>220203003</v>
      </c>
      <c r="O369" t="str">
        <f t="shared" si="127"/>
        <v>次</v>
      </c>
      <c r="P369" t="str">
        <f t="shared" si="125"/>
        <v>超声费</v>
      </c>
    </row>
    <row r="370" spans="1:16">
      <c r="A370" t="str">
        <f>"胎儿生物物理相评分"</f>
        <v>胎儿生物物理相评分</v>
      </c>
      <c r="B370">
        <v>220203004</v>
      </c>
      <c r="C370" t="str">
        <f t="shared" si="124"/>
        <v>其他</v>
      </c>
      <c r="D370" t="str">
        <f>"002202030040000"</f>
        <v>002202030040000</v>
      </c>
      <c r="G370">
        <v>30</v>
      </c>
      <c r="I370" t="str">
        <f t="shared" ref="I370:I373" si="128">"次"</f>
        <v>次</v>
      </c>
      <c r="K370" t="str">
        <f>"TESWWLXPF"</f>
        <v>TESWWLXPF</v>
      </c>
      <c r="L370" t="str">
        <f>"EQTTTGSYW"</f>
        <v>EQTTTGSYW</v>
      </c>
      <c r="M370">
        <v>30</v>
      </c>
      <c r="N370">
        <v>220203004</v>
      </c>
      <c r="O370" t="str">
        <f t="shared" si="127"/>
        <v>次</v>
      </c>
      <c r="P370" t="str">
        <f t="shared" si="125"/>
        <v>超声费</v>
      </c>
    </row>
    <row r="371" spans="1:16">
      <c r="A371" t="str">
        <f>"颈部血管彩色多普勒超声"</f>
        <v>颈部血管彩色多普勒超声</v>
      </c>
      <c r="B371">
        <v>220302003</v>
      </c>
      <c r="C371" t="str">
        <f>"检查"</f>
        <v>检查</v>
      </c>
      <c r="D371" t="str">
        <f>"002203020030000"</f>
        <v>002203020030000</v>
      </c>
      <c r="G371">
        <v>35</v>
      </c>
      <c r="I371" t="str">
        <f t="shared" si="128"/>
        <v>次</v>
      </c>
      <c r="K371" t="str">
        <f>"JBXGCSDPLCS"</f>
        <v>JBXGCSDPLCS</v>
      </c>
      <c r="L371" t="str">
        <f>"CUTTEQQUAFF"</f>
        <v>CUTTEQQUAFF</v>
      </c>
      <c r="M371">
        <v>45</v>
      </c>
      <c r="N371">
        <v>220302003</v>
      </c>
      <c r="O371" t="str">
        <f>"每根"</f>
        <v>每根</v>
      </c>
      <c r="P371" t="str">
        <f t="shared" ref="P371:P373" si="129">"彩超费"</f>
        <v>彩超费</v>
      </c>
    </row>
    <row r="372" spans="1:16">
      <c r="A372" t="str">
        <f>"多普勒血流图"</f>
        <v>多普勒血流图</v>
      </c>
      <c r="B372">
        <v>220400002</v>
      </c>
      <c r="C372" t="str">
        <f t="shared" ref="C372:C377" si="130">"其他"</f>
        <v>其他</v>
      </c>
      <c r="D372" t="str">
        <f>"002204000020000"</f>
        <v>002204000020000</v>
      </c>
      <c r="G372">
        <v>30</v>
      </c>
      <c r="I372" t="str">
        <f>"单肢或部位"</f>
        <v>单肢或部位</v>
      </c>
      <c r="K372" t="str">
        <f>"DPLXLT"</f>
        <v>DPLXLT</v>
      </c>
      <c r="L372" t="str">
        <f>"QUATIL"</f>
        <v>QUATIL</v>
      </c>
      <c r="M372">
        <v>30</v>
      </c>
      <c r="N372">
        <v>220400002</v>
      </c>
      <c r="O372" t="str">
        <f>"每部位"</f>
        <v>每部位</v>
      </c>
      <c r="P372" t="str">
        <f t="shared" si="129"/>
        <v>彩超费</v>
      </c>
    </row>
    <row r="373" spans="1:16">
      <c r="A373" t="str">
        <f>"普通二维超声心动图"</f>
        <v>普通二维超声心动图</v>
      </c>
      <c r="B373">
        <v>220600002</v>
      </c>
      <c r="C373" t="str">
        <f t="shared" si="130"/>
        <v>其他</v>
      </c>
      <c r="D373" t="str">
        <f>"002206000020000"</f>
        <v>002206000020000</v>
      </c>
      <c r="G373">
        <v>50</v>
      </c>
      <c r="I373" t="str">
        <f t="shared" si="128"/>
        <v>次</v>
      </c>
      <c r="K373" t="str">
        <f>"PTEWCSXDT"</f>
        <v>PTEWCSXDT</v>
      </c>
      <c r="L373" t="str">
        <f>"UCFXFFNFL"</f>
        <v>UCFXFFNFL</v>
      </c>
      <c r="M373">
        <v>50</v>
      </c>
      <c r="N373">
        <v>220600002</v>
      </c>
      <c r="O373" t="str">
        <f>"次"</f>
        <v>次</v>
      </c>
      <c r="P373" t="str">
        <f t="shared" si="129"/>
        <v>彩超费</v>
      </c>
    </row>
    <row r="374" spans="1:16">
      <c r="A374" t="str">
        <f>"黑白热敏打印照片"</f>
        <v>黑白热敏打印照片</v>
      </c>
      <c r="B374">
        <v>220800001</v>
      </c>
      <c r="C374" t="str">
        <f t="shared" si="130"/>
        <v>其他</v>
      </c>
      <c r="D374" t="str">
        <f>"002208000010000"</f>
        <v>002208000010000</v>
      </c>
      <c r="G374">
        <v>10</v>
      </c>
      <c r="I374" t="str">
        <f t="shared" ref="I374:I377" si="131">"片"</f>
        <v>片</v>
      </c>
      <c r="K374" t="str">
        <f>"HBRMDYZP"</f>
        <v>HBRMDYZP</v>
      </c>
      <c r="L374" t="str">
        <f>"LRRTRQJT"</f>
        <v>LRRTRQJT</v>
      </c>
      <c r="M374">
        <v>10</v>
      </c>
      <c r="N374">
        <v>220800001</v>
      </c>
      <c r="O374" t="str">
        <f t="shared" ref="O374:O377" si="132">"片"</f>
        <v>片</v>
      </c>
      <c r="P374" t="str">
        <f t="shared" ref="P374:P379" si="133">"检查费"</f>
        <v>检查费</v>
      </c>
    </row>
    <row r="375" spans="1:16">
      <c r="A375" t="str">
        <f>"彩色打印照片"</f>
        <v>彩色打印照片</v>
      </c>
      <c r="B375">
        <v>220800002</v>
      </c>
      <c r="C375" t="str">
        <f t="shared" si="130"/>
        <v>其他</v>
      </c>
      <c r="D375" t="str">
        <f>"002208000020000"</f>
        <v>002208000020000</v>
      </c>
      <c r="G375">
        <v>15</v>
      </c>
      <c r="I375" t="str">
        <f t="shared" si="131"/>
        <v>片</v>
      </c>
      <c r="K375" t="str">
        <f>"CSDYZP"</f>
        <v>CSDYZP</v>
      </c>
      <c r="L375" t="str">
        <f>"EQRQJT"</f>
        <v>EQRQJT</v>
      </c>
      <c r="M375">
        <v>15</v>
      </c>
      <c r="N375">
        <v>220800002</v>
      </c>
      <c r="O375" t="str">
        <f t="shared" si="132"/>
        <v>片</v>
      </c>
      <c r="P375" t="str">
        <f t="shared" si="133"/>
        <v>检查费</v>
      </c>
    </row>
    <row r="376" spans="1:16">
      <c r="A376" t="str">
        <f>"黑白一次成象(波拉)照片"</f>
        <v>黑白一次成象(波拉)照片</v>
      </c>
      <c r="B376">
        <v>220800003</v>
      </c>
      <c r="C376" t="str">
        <f t="shared" si="130"/>
        <v>其他</v>
      </c>
      <c r="D376" t="str">
        <f>"002208000030000"</f>
        <v>002208000030000</v>
      </c>
      <c r="G376">
        <v>10</v>
      </c>
      <c r="I376" t="str">
        <f t="shared" si="131"/>
        <v>片</v>
      </c>
      <c r="K376" t="str">
        <f>"HBYCCX(BL)ZP"</f>
        <v>HBYCCX(BL)ZP</v>
      </c>
      <c r="L376" t="str">
        <f>"LRGUDQ(IR)JT"</f>
        <v>LRGUDQ(IR)JT</v>
      </c>
      <c r="M376">
        <v>10</v>
      </c>
      <c r="N376">
        <v>220800003</v>
      </c>
      <c r="O376" t="str">
        <f t="shared" si="132"/>
        <v>片</v>
      </c>
      <c r="P376" t="str">
        <f>"超声费"</f>
        <v>超声费</v>
      </c>
    </row>
    <row r="377" spans="1:16">
      <c r="A377" t="str">
        <f>"彩色一次成象(波拉)照片"</f>
        <v>彩色一次成象(波拉)照片</v>
      </c>
      <c r="B377">
        <v>220800004</v>
      </c>
      <c r="C377" t="str">
        <f t="shared" si="130"/>
        <v>其他</v>
      </c>
      <c r="D377" t="str">
        <f>"002208000040000"</f>
        <v>002208000040000</v>
      </c>
      <c r="G377">
        <v>40</v>
      </c>
      <c r="I377" t="str">
        <f t="shared" si="131"/>
        <v>片</v>
      </c>
      <c r="K377" t="str">
        <f>"CSYCCX(BL)ZP"</f>
        <v>CSYCCX(BL)ZP</v>
      </c>
      <c r="L377" t="str">
        <f>"EQGUDQ(IR)JT"</f>
        <v>EQGUDQ(IR)JT</v>
      </c>
      <c r="M377">
        <v>40</v>
      </c>
      <c r="N377">
        <v>220800004</v>
      </c>
      <c r="O377" t="str">
        <f t="shared" si="132"/>
        <v>片</v>
      </c>
      <c r="P377" t="str">
        <f>"超声费"</f>
        <v>超声费</v>
      </c>
    </row>
    <row r="378" spans="1:16">
      <c r="A378" t="str">
        <f>"骨密度测定"</f>
        <v>骨密度测定</v>
      </c>
      <c r="B378">
        <v>230200055</v>
      </c>
      <c r="C378" t="str">
        <f>"检查"</f>
        <v>检查</v>
      </c>
      <c r="D378" t="str">
        <f>"012415000010000"</f>
        <v>012415000010000</v>
      </c>
      <c r="G378">
        <v>40</v>
      </c>
      <c r="I378" t="str">
        <f t="shared" ref="I378:I383" si="134">"次"</f>
        <v>次</v>
      </c>
      <c r="K378" t="str">
        <f>"GMDCD"</f>
        <v>GMDCD</v>
      </c>
      <c r="L378" t="str">
        <f>"MPYIP"</f>
        <v>MPYIP</v>
      </c>
      <c r="M378">
        <v>40</v>
      </c>
      <c r="N378">
        <v>230200055</v>
      </c>
      <c r="O378" t="str">
        <f t="shared" ref="O378:O383" si="135">"次"</f>
        <v>次</v>
      </c>
      <c r="P378" t="str">
        <f t="shared" si="133"/>
        <v>检查费</v>
      </c>
    </row>
    <row r="379" spans="1:16">
      <c r="A379" t="str">
        <f>"骨密度测定双能X线骨密度仪检测（同位素）"</f>
        <v>骨密度测定双能X线骨密度仪检测（同位素）</v>
      </c>
      <c r="B379" t="str">
        <f>"230200055-a"</f>
        <v>230200055-a</v>
      </c>
      <c r="C379" t="str">
        <f>"检查"</f>
        <v>检查</v>
      </c>
      <c r="G379">
        <v>120</v>
      </c>
      <c r="I379" t="str">
        <f t="shared" si="134"/>
        <v>次</v>
      </c>
      <c r="K379" t="str">
        <f>"GMDCDSNXXGMDYJCT"</f>
        <v>GMDCDSNXXGMDYJCT</v>
      </c>
      <c r="L379" t="str">
        <f>"MPYIPCCXXMPYWSIM"</f>
        <v>MPYIPCCXXMPYWSIM</v>
      </c>
      <c r="M379">
        <v>300</v>
      </c>
      <c r="N379" t="str">
        <f>"230200055-a"</f>
        <v>230200055-a</v>
      </c>
      <c r="O379" t="str">
        <f t="shared" si="135"/>
        <v>次</v>
      </c>
      <c r="P379" t="str">
        <f t="shared" si="133"/>
        <v>检查费</v>
      </c>
    </row>
    <row r="380" spans="1:16">
      <c r="A380" t="str">
        <f>"血红蛋白测定(Hb)"</f>
        <v>血红蛋白测定(Hb)</v>
      </c>
      <c r="B380">
        <v>250101001</v>
      </c>
      <c r="C380" t="str">
        <f t="shared" ref="C380:C443" si="136">"检验"</f>
        <v>检验</v>
      </c>
      <c r="D380" t="str">
        <f>"002501010010000"</f>
        <v>002501010010000</v>
      </c>
      <c r="G380">
        <v>1</v>
      </c>
      <c r="I380" t="str">
        <f t="shared" ref="I380:I382" si="137">"项"</f>
        <v>项</v>
      </c>
      <c r="K380" t="str">
        <f>"XHDBCD(HB)"</f>
        <v>XHDBCD(HB)</v>
      </c>
      <c r="L380" t="str">
        <f>"TXNRIP(hb)"</f>
        <v>TXNRIP(hb)</v>
      </c>
      <c r="M380">
        <v>1</v>
      </c>
      <c r="N380">
        <v>250101001</v>
      </c>
      <c r="O380" t="str">
        <f t="shared" ref="O380:O382" si="138">"项"</f>
        <v>项</v>
      </c>
      <c r="P380" t="str">
        <f t="shared" ref="P380:P443" si="139">"检验费"</f>
        <v>检验费</v>
      </c>
    </row>
    <row r="381" spans="1:16">
      <c r="A381" t="str">
        <f>"红细胞计数(RBC)"</f>
        <v>红细胞计数(RBC)</v>
      </c>
      <c r="B381">
        <v>250101002</v>
      </c>
      <c r="C381" t="str">
        <f t="shared" si="136"/>
        <v>检验</v>
      </c>
      <c r="D381" t="str">
        <f>"002501010020000"</f>
        <v>002501010020000</v>
      </c>
      <c r="G381">
        <v>1</v>
      </c>
      <c r="I381" t="str">
        <f t="shared" si="137"/>
        <v>项</v>
      </c>
      <c r="K381" t="str">
        <f>"HXBJS(RBC)"</f>
        <v>HXBJS(RBC)</v>
      </c>
      <c r="L381" t="str">
        <f>"XXEYO(rbc)"</f>
        <v>XXEYO(rbc)</v>
      </c>
      <c r="M381">
        <v>1</v>
      </c>
      <c r="N381">
        <v>250101002</v>
      </c>
      <c r="O381" t="str">
        <f t="shared" si="138"/>
        <v>项</v>
      </c>
      <c r="P381" t="str">
        <f t="shared" si="139"/>
        <v>检验费</v>
      </c>
    </row>
    <row r="382" spans="1:16">
      <c r="A382" t="str">
        <f>"红细胞比积测定(HCT)"</f>
        <v>红细胞比积测定(HCT)</v>
      </c>
      <c r="B382">
        <v>250101003</v>
      </c>
      <c r="C382" t="str">
        <f t="shared" si="136"/>
        <v>检验</v>
      </c>
      <c r="D382" t="str">
        <f>"002501010030000"</f>
        <v>002501010030000</v>
      </c>
      <c r="G382">
        <v>1</v>
      </c>
      <c r="I382" t="str">
        <f t="shared" si="137"/>
        <v>项</v>
      </c>
      <c r="K382" t="str">
        <f>"HXBBJCD(HCT)"</f>
        <v>HXBBJCD(HCT)</v>
      </c>
      <c r="L382" t="str">
        <f>"XXEXTIP(hct)"</f>
        <v>XXEXTIP(hct)</v>
      </c>
      <c r="M382">
        <v>1</v>
      </c>
      <c r="N382">
        <v>250101003</v>
      </c>
      <c r="O382" t="str">
        <f t="shared" si="138"/>
        <v>项</v>
      </c>
      <c r="P382" t="str">
        <f t="shared" si="139"/>
        <v>检验费</v>
      </c>
    </row>
    <row r="383" spans="1:16">
      <c r="A383" t="str">
        <f>"红细胞参数平均值测定"</f>
        <v>红细胞参数平均值测定</v>
      </c>
      <c r="B383">
        <v>250101004</v>
      </c>
      <c r="C383" t="str">
        <f t="shared" si="136"/>
        <v>检验</v>
      </c>
      <c r="D383" t="str">
        <f>"002501010040000"</f>
        <v>002501010040000</v>
      </c>
      <c r="G383">
        <v>2</v>
      </c>
      <c r="I383" t="str">
        <f t="shared" si="134"/>
        <v>次</v>
      </c>
      <c r="K383" t="str">
        <f>"HXBCSPJZCD"</f>
        <v>HXBCSPJZCD</v>
      </c>
      <c r="L383" t="str">
        <f>"XXECOGFWIP"</f>
        <v>XXECOGFWIP</v>
      </c>
      <c r="M383">
        <v>2</v>
      </c>
      <c r="N383">
        <v>250101004</v>
      </c>
      <c r="O383" t="str">
        <f t="shared" si="135"/>
        <v>次</v>
      </c>
      <c r="P383" t="str">
        <f t="shared" si="139"/>
        <v>检验费</v>
      </c>
    </row>
    <row r="384" spans="1:16">
      <c r="A384" t="str">
        <f>"嗜碱性点彩红细胞计数"</f>
        <v>嗜碱性点彩红细胞计数</v>
      </c>
      <c r="B384">
        <v>250101006</v>
      </c>
      <c r="C384" t="str">
        <f t="shared" si="136"/>
        <v>检验</v>
      </c>
      <c r="D384" t="str">
        <f>"002501010060000"</f>
        <v>002501010060000</v>
      </c>
      <c r="G384">
        <v>2.5</v>
      </c>
      <c r="I384" t="str">
        <f t="shared" ref="I384:I386" si="140">"项"</f>
        <v>项</v>
      </c>
      <c r="K384" t="str">
        <f>"SJXDCHXBJS"</f>
        <v>SJXDCHXBJS</v>
      </c>
      <c r="L384" t="str">
        <f>"KDNHEXXEYO"</f>
        <v>KDNHEXXEYO</v>
      </c>
      <c r="M384">
        <v>2.5</v>
      </c>
      <c r="N384">
        <v>250101006</v>
      </c>
      <c r="O384" t="str">
        <f t="shared" ref="O384:O386" si="141">"项"</f>
        <v>项</v>
      </c>
      <c r="P384" t="str">
        <f t="shared" si="139"/>
        <v>检验费</v>
      </c>
    </row>
    <row r="385" spans="1:16">
      <c r="A385" t="str">
        <f>"异常红细胞形态检查"</f>
        <v>异常红细胞形态检查</v>
      </c>
      <c r="B385">
        <v>250101007</v>
      </c>
      <c r="C385" t="str">
        <f t="shared" si="136"/>
        <v>检验</v>
      </c>
      <c r="D385" t="str">
        <f>"002501010070000"</f>
        <v>002501010070000</v>
      </c>
      <c r="G385">
        <v>2</v>
      </c>
      <c r="I385" t="str">
        <f t="shared" si="140"/>
        <v>项</v>
      </c>
      <c r="K385" t="str">
        <f>"YCHXBXTJC"</f>
        <v>YCHXBXTJC</v>
      </c>
      <c r="L385" t="str">
        <f>"NIXXEGDSS"</f>
        <v>NIXXEGDSS</v>
      </c>
      <c r="M385">
        <v>2</v>
      </c>
      <c r="N385">
        <v>250101007</v>
      </c>
      <c r="O385" t="str">
        <f t="shared" si="141"/>
        <v>项</v>
      </c>
      <c r="P385" t="str">
        <f t="shared" si="139"/>
        <v>检验费</v>
      </c>
    </row>
    <row r="386" spans="1:16">
      <c r="A386" t="str">
        <f>"红细胞沉降率测定(ESR)(手工法)"</f>
        <v>红细胞沉降率测定(ESR)(手工法)</v>
      </c>
      <c r="B386">
        <v>250101008</v>
      </c>
      <c r="C386" t="str">
        <f t="shared" si="136"/>
        <v>检验</v>
      </c>
      <c r="D386" t="str">
        <f>"002501010080000"</f>
        <v>002501010080000</v>
      </c>
      <c r="G386">
        <v>5</v>
      </c>
      <c r="I386" t="str">
        <f t="shared" si="140"/>
        <v>项</v>
      </c>
      <c r="K386" t="str">
        <f>"HXBCJLCD(ESR)(SG"</f>
        <v>HXBCJLCD(ESR)(SG</v>
      </c>
      <c r="L386" t="str">
        <f>"XXEIBYIPESRRAI"</f>
        <v>XXEIBYIPESRRAI</v>
      </c>
      <c r="M386">
        <v>5</v>
      </c>
      <c r="N386">
        <v>250101008</v>
      </c>
      <c r="O386" t="str">
        <f t="shared" si="141"/>
        <v>项</v>
      </c>
      <c r="P386" t="str">
        <f t="shared" si="139"/>
        <v>检验费</v>
      </c>
    </row>
    <row r="387" spans="1:16">
      <c r="A387" t="str">
        <f>"红细胞沉降率测定(ESR)(仪器法)"</f>
        <v>红细胞沉降率测定(ESR)(仪器法)</v>
      </c>
      <c r="B387" t="str">
        <f>"250101008-a"</f>
        <v>250101008-a</v>
      </c>
      <c r="C387" t="str">
        <f t="shared" si="136"/>
        <v>检验</v>
      </c>
      <c r="D387" t="str">
        <f>"002501010080000"</f>
        <v>002501010080000</v>
      </c>
      <c r="G387">
        <v>7</v>
      </c>
      <c r="I387" t="str">
        <f>"-"</f>
        <v>-</v>
      </c>
      <c r="K387" t="str">
        <f>"HXBCJLCDESRYQF"</f>
        <v>HXBCJLCDESRYQF</v>
      </c>
      <c r="L387" t="str">
        <f>"XXEIBYIPESRWKI"</f>
        <v>XXEIBYIPESRWKI</v>
      </c>
      <c r="M387">
        <v>7</v>
      </c>
      <c r="N387" t="str">
        <f>"250101008-a"</f>
        <v>250101008-a</v>
      </c>
      <c r="O387" t="str">
        <f>"次"</f>
        <v>次</v>
      </c>
      <c r="P387" t="str">
        <f t="shared" si="139"/>
        <v>检验费</v>
      </c>
    </row>
    <row r="388" spans="1:16">
      <c r="A388" t="str">
        <f>"白细胞计数(WBC)"</f>
        <v>白细胞计数(WBC)</v>
      </c>
      <c r="B388">
        <v>250101009</v>
      </c>
      <c r="C388" t="str">
        <f t="shared" si="136"/>
        <v>检验</v>
      </c>
      <c r="D388" t="str">
        <f>"002501010090000"</f>
        <v>002501010090000</v>
      </c>
      <c r="G388">
        <v>1</v>
      </c>
      <c r="I388" t="str">
        <f t="shared" ref="I388:I393" si="142">"项"</f>
        <v>项</v>
      </c>
      <c r="K388" t="str">
        <f>"BXBJS(WBC)"</f>
        <v>BXBJS(WBC)</v>
      </c>
      <c r="L388" t="str">
        <f>"RXEYO(wbc)"</f>
        <v>RXEYO(wbc)</v>
      </c>
      <c r="M388">
        <v>1</v>
      </c>
      <c r="N388">
        <v>250101009</v>
      </c>
      <c r="O388" t="str">
        <f t="shared" ref="O388:O393" si="143">"项"</f>
        <v>项</v>
      </c>
      <c r="P388" t="str">
        <f t="shared" si="139"/>
        <v>检验费</v>
      </c>
    </row>
    <row r="389" spans="1:16">
      <c r="A389" t="str">
        <f>"白细胞分类计数(DC)"</f>
        <v>白细胞分类计数(DC)</v>
      </c>
      <c r="B389">
        <v>250101010</v>
      </c>
      <c r="C389" t="str">
        <f t="shared" si="136"/>
        <v>检验</v>
      </c>
      <c r="D389" t="str">
        <f>"002501010100000"</f>
        <v>002501010100000</v>
      </c>
      <c r="G389" t="str">
        <f>"0.5"</f>
        <v>0.5</v>
      </c>
      <c r="I389" t="str">
        <f t="shared" si="142"/>
        <v>项</v>
      </c>
      <c r="K389" t="str">
        <f>"BXBFLJS(DC)"</f>
        <v>BXBFLJS(DC)</v>
      </c>
      <c r="L389" t="str">
        <f>"RXEWOYO(dc)"</f>
        <v>RXEWOYO(dc)</v>
      </c>
      <c r="M389" t="str">
        <f>"0.5"</f>
        <v>0.5</v>
      </c>
      <c r="N389">
        <v>250101010</v>
      </c>
      <c r="O389" t="str">
        <f t="shared" si="143"/>
        <v>项</v>
      </c>
      <c r="P389" t="str">
        <f t="shared" si="139"/>
        <v>检验费</v>
      </c>
    </row>
    <row r="390" spans="1:16">
      <c r="A390" t="str">
        <f>"粒细胞计数"</f>
        <v>粒细胞计数</v>
      </c>
      <c r="B390">
        <v>250101011</v>
      </c>
      <c r="C390" t="str">
        <f t="shared" si="136"/>
        <v>检验</v>
      </c>
      <c r="D390" t="str">
        <f>"002501010110000"</f>
        <v>002501010110000</v>
      </c>
      <c r="G390">
        <v>1</v>
      </c>
      <c r="I390" t="str">
        <f t="shared" si="142"/>
        <v>项</v>
      </c>
      <c r="K390" t="str">
        <f>"LXBJS"</f>
        <v>LXBJS</v>
      </c>
      <c r="L390" t="str">
        <f>"OXEYO"</f>
        <v>OXEYO</v>
      </c>
      <c r="M390">
        <v>5</v>
      </c>
      <c r="O390" t="str">
        <f t="shared" si="143"/>
        <v>项</v>
      </c>
      <c r="P390" t="str">
        <f t="shared" si="139"/>
        <v>检验费</v>
      </c>
    </row>
    <row r="391" spans="1:16">
      <c r="A391" t="str">
        <f>"异常白细胞形态检查"</f>
        <v>异常白细胞形态检查</v>
      </c>
      <c r="B391">
        <v>250101012</v>
      </c>
      <c r="C391" t="str">
        <f t="shared" si="136"/>
        <v>检验</v>
      </c>
      <c r="D391" t="str">
        <f>"002501010120000"</f>
        <v>002501010120000</v>
      </c>
      <c r="G391">
        <v>2</v>
      </c>
      <c r="I391" t="str">
        <f t="shared" si="142"/>
        <v>项</v>
      </c>
      <c r="K391" t="str">
        <f>"YCBXBXTJC"</f>
        <v>YCBXBXTJC</v>
      </c>
      <c r="L391" t="str">
        <f>"NIRXEGDSS"</f>
        <v>NIRXEGDSS</v>
      </c>
      <c r="M391">
        <v>2</v>
      </c>
      <c r="N391">
        <v>250101012</v>
      </c>
      <c r="O391" t="str">
        <f t="shared" si="143"/>
        <v>项</v>
      </c>
      <c r="P391" t="str">
        <f t="shared" si="139"/>
        <v>检验费</v>
      </c>
    </row>
    <row r="392" spans="1:16">
      <c r="A392" t="str">
        <f>"血小板计数"</f>
        <v>血小板计数</v>
      </c>
      <c r="B392">
        <v>250101014</v>
      </c>
      <c r="C392" t="str">
        <f t="shared" si="136"/>
        <v>检验</v>
      </c>
      <c r="D392" t="str">
        <f>"002501010140000"</f>
        <v>002501010140000</v>
      </c>
      <c r="G392">
        <v>1</v>
      </c>
      <c r="I392" t="str">
        <f t="shared" si="142"/>
        <v>项</v>
      </c>
      <c r="K392" t="str">
        <f>"XXBJS"</f>
        <v>XXBJS</v>
      </c>
      <c r="L392" t="str">
        <f>"TISYO"</f>
        <v>TISYO</v>
      </c>
      <c r="M392">
        <v>1</v>
      </c>
      <c r="N392">
        <v>250101014</v>
      </c>
      <c r="O392" t="str">
        <f t="shared" si="143"/>
        <v>项</v>
      </c>
      <c r="P392" t="str">
        <f t="shared" si="139"/>
        <v>检验费</v>
      </c>
    </row>
    <row r="393" spans="1:16">
      <c r="A393" t="str">
        <f>"血细胞分析（手工法）"</f>
        <v>血细胞分析（手工法）</v>
      </c>
      <c r="B393">
        <v>250101015</v>
      </c>
      <c r="C393" t="str">
        <f t="shared" si="136"/>
        <v>检验</v>
      </c>
      <c r="D393" t="str">
        <f t="shared" ref="D393:D395" si="144">"002501010150000"</f>
        <v>002501010150000</v>
      </c>
      <c r="G393" t="str">
        <f>"0"</f>
        <v>0</v>
      </c>
      <c r="I393" t="str">
        <f t="shared" si="142"/>
        <v>项</v>
      </c>
      <c r="K393" t="str">
        <f>"XXBFX（SGF）"</f>
        <v>XXBFX（SGF）</v>
      </c>
      <c r="L393" t="str">
        <f>"TXEWSRAI"</f>
        <v>TXEWSRAI</v>
      </c>
      <c r="M393">
        <v>2</v>
      </c>
      <c r="N393">
        <v>250101015</v>
      </c>
      <c r="O393" t="str">
        <f t="shared" si="143"/>
        <v>项</v>
      </c>
      <c r="P393" t="str">
        <f t="shared" si="139"/>
        <v>检验费</v>
      </c>
    </row>
    <row r="394" spans="1:16">
      <c r="A394" t="str">
        <f>"血细胞分析（三分类）"</f>
        <v>血细胞分析（三分类）</v>
      </c>
      <c r="B394" t="str">
        <f>"250101015-a"</f>
        <v>250101015-a</v>
      </c>
      <c r="C394" t="str">
        <f t="shared" si="136"/>
        <v>检验</v>
      </c>
      <c r="D394" t="str">
        <f t="shared" si="144"/>
        <v>002501010150000</v>
      </c>
      <c r="G394">
        <v>10</v>
      </c>
      <c r="I394" t="str">
        <f t="shared" ref="I394:I396" si="145">"次"</f>
        <v>次</v>
      </c>
      <c r="K394" t="str">
        <f>"XXBFXSFL"</f>
        <v>XXBFXSFL</v>
      </c>
      <c r="L394" t="str">
        <f>"TXEWSDWO"</f>
        <v>TXEWSDWO</v>
      </c>
      <c r="M394">
        <v>10</v>
      </c>
      <c r="N394" t="str">
        <f>"250101015-a"</f>
        <v>250101015-a</v>
      </c>
      <c r="O394" t="str">
        <f t="shared" ref="O394:O396" si="146">"次"</f>
        <v>次</v>
      </c>
      <c r="P394" t="str">
        <f t="shared" si="139"/>
        <v>检验费</v>
      </c>
    </row>
    <row r="395" spans="1:16">
      <c r="A395" t="str">
        <f>"血细胞分析（五分类）"</f>
        <v>血细胞分析（五分类）</v>
      </c>
      <c r="B395" t="str">
        <f>"250101015-b"</f>
        <v>250101015-b</v>
      </c>
      <c r="C395" t="str">
        <f t="shared" si="136"/>
        <v>检验</v>
      </c>
      <c r="D395" t="str">
        <f t="shared" si="144"/>
        <v>002501010150000</v>
      </c>
      <c r="G395">
        <v>18</v>
      </c>
      <c r="I395" t="str">
        <f t="shared" si="145"/>
        <v>次</v>
      </c>
      <c r="K395" t="str">
        <f>"XXBFXWFL"</f>
        <v>XXBFXWFL</v>
      </c>
      <c r="L395" t="str">
        <f>"TXEWSGWO"</f>
        <v>TXEWSGWO</v>
      </c>
      <c r="M395">
        <v>18</v>
      </c>
      <c r="N395" t="str">
        <f>"250101015-b"</f>
        <v>250101015-b</v>
      </c>
      <c r="O395" t="str">
        <f t="shared" si="146"/>
        <v>次</v>
      </c>
      <c r="P395" t="str">
        <f t="shared" si="139"/>
        <v>检验费</v>
      </c>
    </row>
    <row r="396" spans="1:16">
      <c r="A396" t="str">
        <f>"尿常规镜检"</f>
        <v>尿常规镜检</v>
      </c>
      <c r="B396">
        <v>250102001</v>
      </c>
      <c r="C396" t="str">
        <f t="shared" si="136"/>
        <v>检验</v>
      </c>
      <c r="D396" t="str">
        <f>"002501020010000"</f>
        <v>002501020010000</v>
      </c>
      <c r="G396" t="str">
        <f>"0"</f>
        <v>0</v>
      </c>
      <c r="I396" t="str">
        <f t="shared" si="145"/>
        <v>次</v>
      </c>
      <c r="K396" t="str">
        <f>"NCGJJ"</f>
        <v>NCGJJ</v>
      </c>
      <c r="L396" t="str">
        <f>"NIFQS"</f>
        <v>NIFQS</v>
      </c>
      <c r="M396">
        <v>1</v>
      </c>
      <c r="N396">
        <v>250102001</v>
      </c>
      <c r="O396" t="str">
        <f t="shared" si="146"/>
        <v>次</v>
      </c>
      <c r="P396" t="str">
        <f t="shared" si="139"/>
        <v>检验费</v>
      </c>
    </row>
    <row r="397" spans="1:16">
      <c r="A397" t="str">
        <f>"尿妊娠试验"</f>
        <v>尿妊娠试验</v>
      </c>
      <c r="B397">
        <v>250102021</v>
      </c>
      <c r="C397" t="str">
        <f t="shared" si="136"/>
        <v>检验</v>
      </c>
      <c r="G397">
        <v>6</v>
      </c>
      <c r="I397" t="str">
        <f t="shared" ref="I397:I399" si="147">"项"</f>
        <v>项</v>
      </c>
      <c r="K397" t="str">
        <f>"NRC"</f>
        <v>NRC</v>
      </c>
      <c r="L397" t="str">
        <f>"NVVYC"</f>
        <v>NVVYC</v>
      </c>
      <c r="M397">
        <v>6</v>
      </c>
      <c r="N397">
        <v>250102021</v>
      </c>
      <c r="O397" t="str">
        <f t="shared" ref="O397:O399" si="148">"项"</f>
        <v>项</v>
      </c>
      <c r="P397" t="str">
        <f t="shared" si="139"/>
        <v>检验费</v>
      </c>
    </row>
    <row r="398" spans="1:16">
      <c r="A398" t="str">
        <f>"尿沉渣定量"</f>
        <v>尿沉渣定量</v>
      </c>
      <c r="B398" t="str">
        <f>"250102024-a"</f>
        <v>250102024-a</v>
      </c>
      <c r="C398" t="str">
        <f t="shared" si="136"/>
        <v>检验</v>
      </c>
      <c r="D398" t="str">
        <f>"002501020240000"</f>
        <v>002501020240000</v>
      </c>
      <c r="G398">
        <v>20</v>
      </c>
      <c r="I398" t="str">
        <f t="shared" si="147"/>
        <v>项</v>
      </c>
      <c r="K398" t="str">
        <f>"NCZDL"</f>
        <v>NCZDL</v>
      </c>
      <c r="L398" t="str">
        <f>"NIIPJ"</f>
        <v>NIIPJ</v>
      </c>
      <c r="M398">
        <v>20</v>
      </c>
      <c r="N398" t="str">
        <f>"250102024-a"</f>
        <v>250102024-a</v>
      </c>
      <c r="O398" t="str">
        <f t="shared" si="148"/>
        <v>项</v>
      </c>
      <c r="P398" t="str">
        <f t="shared" si="139"/>
        <v>检验费</v>
      </c>
    </row>
    <row r="399" spans="1:16">
      <c r="A399" t="str">
        <f>"尿常规（产检）"</f>
        <v>尿常规（产检）</v>
      </c>
      <c r="B399">
        <v>250102025</v>
      </c>
      <c r="C399" t="str">
        <f t="shared" si="136"/>
        <v>检验</v>
      </c>
      <c r="G399">
        <v>1</v>
      </c>
      <c r="I399" t="str">
        <f t="shared" si="147"/>
        <v>项</v>
      </c>
      <c r="K399" t="str">
        <f>"NCG（CJ）"</f>
        <v>NCG（CJ）</v>
      </c>
      <c r="L399" t="str">
        <f>"NIFUS"</f>
        <v>NIFUS</v>
      </c>
      <c r="M399">
        <v>1</v>
      </c>
      <c r="N399">
        <v>250102025</v>
      </c>
      <c r="O399" t="str">
        <f t="shared" si="148"/>
        <v>项</v>
      </c>
      <c r="P399" t="str">
        <f t="shared" si="139"/>
        <v>检验费</v>
      </c>
    </row>
    <row r="400" spans="1:16">
      <c r="A400" t="str">
        <f>"尿常规化学检测"</f>
        <v>尿常规化学检测</v>
      </c>
      <c r="B400">
        <v>250102035</v>
      </c>
      <c r="C400" t="str">
        <f t="shared" si="136"/>
        <v>检验</v>
      </c>
      <c r="D400" t="str">
        <f t="shared" ref="D400:D402" si="149">"002501020350000"</f>
        <v>002501020350000</v>
      </c>
      <c r="G400">
        <v>4.5</v>
      </c>
      <c r="I400" t="str">
        <f t="shared" ref="I400:I403" si="150">"次"</f>
        <v>次</v>
      </c>
      <c r="K400" t="str">
        <f>"NCGHXJC"</f>
        <v>NCGHXJC</v>
      </c>
      <c r="L400" t="str">
        <f>"NIFWISI"</f>
        <v>NIFWISI</v>
      </c>
      <c r="M400">
        <v>5</v>
      </c>
      <c r="N400">
        <v>250102035</v>
      </c>
      <c r="O400" t="str">
        <f t="shared" ref="O400:O403" si="151">"次"</f>
        <v>次</v>
      </c>
      <c r="P400" t="str">
        <f t="shared" si="139"/>
        <v>检验费</v>
      </c>
    </row>
    <row r="401" spans="1:16">
      <c r="A401" t="str">
        <f>"尿液分析(使用抗维生素C试剂条加收)"</f>
        <v>尿液分析(使用抗维生素C试剂条加收)</v>
      </c>
      <c r="B401" t="str">
        <f>"250102035-a"</f>
        <v>250102035-a</v>
      </c>
      <c r="C401" t="str">
        <f t="shared" si="136"/>
        <v>检验</v>
      </c>
      <c r="D401" t="str">
        <f t="shared" si="149"/>
        <v>002501020350000</v>
      </c>
      <c r="G401">
        <v>2</v>
      </c>
      <c r="I401" t="str">
        <f>"-"</f>
        <v>-</v>
      </c>
      <c r="K401" t="str">
        <f>"NYFXSYKWSS"</f>
        <v>NYFXSYKWSS</v>
      </c>
      <c r="L401" t="str">
        <f>"NIWSWERXTG"</f>
        <v>NIWSWERXTG</v>
      </c>
      <c r="M401">
        <v>2</v>
      </c>
      <c r="N401" t="str">
        <f>"250102035-a"</f>
        <v>250102035-a</v>
      </c>
      <c r="O401" t="str">
        <f t="shared" si="151"/>
        <v>次</v>
      </c>
      <c r="P401" t="str">
        <f t="shared" si="139"/>
        <v>检验费</v>
      </c>
    </row>
    <row r="402" spans="1:16">
      <c r="A402" t="str">
        <f>"尿液分析"</f>
        <v>尿液分析</v>
      </c>
      <c r="B402" t="str">
        <f>"250102035-c"</f>
        <v>250102035-c</v>
      </c>
      <c r="C402" t="str">
        <f t="shared" si="136"/>
        <v>检验</v>
      </c>
      <c r="D402" t="str">
        <f t="shared" si="149"/>
        <v>002501020350000</v>
      </c>
      <c r="G402">
        <v>10</v>
      </c>
      <c r="I402" t="str">
        <f t="shared" si="150"/>
        <v>次</v>
      </c>
      <c r="K402" t="str">
        <f>"NYFX"</f>
        <v>NYFX</v>
      </c>
      <c r="L402" t="str">
        <f>"NIWS"</f>
        <v>NIWS</v>
      </c>
      <c r="M402">
        <v>12</v>
      </c>
      <c r="N402" t="str">
        <f>"250102035-c"</f>
        <v>250102035-c</v>
      </c>
      <c r="O402" t="str">
        <f t="shared" si="151"/>
        <v>次</v>
      </c>
      <c r="P402" t="str">
        <f t="shared" si="139"/>
        <v>检验费</v>
      </c>
    </row>
    <row r="403" spans="1:16">
      <c r="A403" t="str">
        <f>"粪便常规"</f>
        <v>粪便常规</v>
      </c>
      <c r="B403">
        <v>250103001</v>
      </c>
      <c r="C403" t="str">
        <f t="shared" si="136"/>
        <v>检验</v>
      </c>
      <c r="D403" t="str">
        <f>"002501030010000"</f>
        <v>002501030010000</v>
      </c>
      <c r="G403">
        <v>5</v>
      </c>
      <c r="I403" t="str">
        <f t="shared" si="150"/>
        <v>次</v>
      </c>
      <c r="K403" t="str">
        <f>"FBCG"</f>
        <v>FBCG</v>
      </c>
      <c r="L403" t="str">
        <f>"OWIF"</f>
        <v>OWIF</v>
      </c>
      <c r="M403">
        <v>5</v>
      </c>
      <c r="N403">
        <v>250103001</v>
      </c>
      <c r="O403" t="str">
        <f t="shared" si="151"/>
        <v>次</v>
      </c>
      <c r="P403" t="str">
        <f t="shared" si="139"/>
        <v>检验费</v>
      </c>
    </row>
    <row r="404" spans="1:16">
      <c r="A404" t="str">
        <f>"粪便隐血试验(OB)"</f>
        <v>粪便隐血试验(OB)</v>
      </c>
      <c r="B404" t="str">
        <f>"250103002-a"</f>
        <v>250103002-a</v>
      </c>
      <c r="C404" t="str">
        <f t="shared" si="136"/>
        <v>检验</v>
      </c>
      <c r="D404" t="str">
        <f>"002501030020000"</f>
        <v>002501030020000</v>
      </c>
      <c r="G404">
        <v>10</v>
      </c>
      <c r="I404" t="str">
        <f t="shared" ref="I404:I415" si="152">"项"</f>
        <v>项</v>
      </c>
      <c r="K404" t="str">
        <f>"FBYXSY(OB)"</f>
        <v>FBYXSY(OB)</v>
      </c>
      <c r="L404" t="str">
        <f>"OWBTYC(ob)"</f>
        <v>OWBTYC(ob)</v>
      </c>
      <c r="M404">
        <v>10</v>
      </c>
      <c r="N404" t="str">
        <f>"250103002-a"</f>
        <v>250103002-a</v>
      </c>
      <c r="O404" t="str">
        <f t="shared" ref="O404:O415" si="153">"项"</f>
        <v>项</v>
      </c>
      <c r="P404" t="str">
        <f t="shared" si="139"/>
        <v>检验费</v>
      </c>
    </row>
    <row r="405" spans="1:16">
      <c r="A405" t="str">
        <f>"阴道分泌物检查"</f>
        <v>阴道分泌物检查</v>
      </c>
      <c r="B405">
        <v>250104014</v>
      </c>
      <c r="C405" t="str">
        <f t="shared" si="136"/>
        <v>检验</v>
      </c>
      <c r="D405" t="str">
        <f t="shared" ref="D405:D410" si="154">"002501040140000"</f>
        <v>002501040140000</v>
      </c>
      <c r="G405">
        <v>7</v>
      </c>
      <c r="I405" t="str">
        <f>"次"</f>
        <v>次</v>
      </c>
      <c r="K405" t="str">
        <f>"YDFMWJC"</f>
        <v>YDFMWJC</v>
      </c>
      <c r="L405" t="str">
        <f>"BUWITSS"</f>
        <v>BUWITSS</v>
      </c>
      <c r="M405">
        <v>7</v>
      </c>
      <c r="N405">
        <v>250104014</v>
      </c>
      <c r="O405" t="str">
        <f>"次"</f>
        <v>次</v>
      </c>
      <c r="P405" t="str">
        <f t="shared" si="139"/>
        <v>检验费</v>
      </c>
    </row>
    <row r="406" spans="1:16">
      <c r="A406" t="str">
        <f>"细菌性阴道炎检查（白细胞酯梅）"</f>
        <v>细菌性阴道炎检查（白细胞酯梅）</v>
      </c>
      <c r="B406" t="str">
        <f>"250104014-a-1"</f>
        <v>250104014-a-1</v>
      </c>
      <c r="C406" t="str">
        <f t="shared" si="136"/>
        <v>检验</v>
      </c>
      <c r="D406" t="str">
        <f t="shared" si="154"/>
        <v>002501040140000</v>
      </c>
      <c r="G406">
        <v>11</v>
      </c>
      <c r="I406" t="str">
        <f t="shared" si="152"/>
        <v>项</v>
      </c>
      <c r="K406" t="str">
        <f>"XJXYDYJCBXBM"</f>
        <v>XJXYDYJCBXBM</v>
      </c>
      <c r="L406" t="str">
        <f>"XANBUOSSRXESS"</f>
        <v>XANBUOSSRXESS</v>
      </c>
      <c r="M406">
        <v>12</v>
      </c>
      <c r="N406" t="str">
        <f t="shared" ref="N406:N410" si="155">"250104014-a"</f>
        <v>250104014-a</v>
      </c>
      <c r="O406" t="str">
        <f t="shared" si="153"/>
        <v>项</v>
      </c>
      <c r="P406" t="str">
        <f t="shared" si="139"/>
        <v>检验费</v>
      </c>
    </row>
    <row r="407" spans="1:16">
      <c r="A407" t="str">
        <f>"细菌性阴道炎检查（过氧化氢浓度）"</f>
        <v>细菌性阴道炎检查（过氧化氢浓度）</v>
      </c>
      <c r="B407" t="str">
        <f>"250104014-a-2"</f>
        <v>250104014-a-2</v>
      </c>
      <c r="C407" t="str">
        <f t="shared" si="136"/>
        <v>检验</v>
      </c>
      <c r="D407" t="str">
        <f t="shared" si="154"/>
        <v>002501040140000</v>
      </c>
      <c r="G407">
        <v>11</v>
      </c>
      <c r="I407" t="str">
        <f t="shared" si="152"/>
        <v>项</v>
      </c>
      <c r="K407" t="str">
        <f>"XJXYDYJCGYHQND"</f>
        <v>XJXYDYJCGYHQND</v>
      </c>
      <c r="L407" t="str">
        <f>"XANBUOSSFRWRIY"</f>
        <v>XANBUOSSFRWRIY</v>
      </c>
      <c r="M407">
        <v>12</v>
      </c>
      <c r="N407" t="str">
        <f t="shared" si="155"/>
        <v>250104014-a</v>
      </c>
      <c r="O407" t="str">
        <f t="shared" si="153"/>
        <v>项</v>
      </c>
      <c r="P407" t="str">
        <f t="shared" si="139"/>
        <v>检验费</v>
      </c>
    </row>
    <row r="408" spans="1:16">
      <c r="A408" t="str">
        <f>"细菌性阴道炎检查（葡萄糖酸苷酶）"</f>
        <v>细菌性阴道炎检查（葡萄糖酸苷酶）</v>
      </c>
      <c r="B408" t="str">
        <f>"250104014-a-3"</f>
        <v>250104014-a-3</v>
      </c>
      <c r="C408" t="str">
        <f t="shared" si="136"/>
        <v>检验</v>
      </c>
      <c r="D408" t="str">
        <f t="shared" si="154"/>
        <v>002501040140000</v>
      </c>
      <c r="G408">
        <v>11</v>
      </c>
      <c r="I408" t="str">
        <f t="shared" si="152"/>
        <v>项</v>
      </c>
      <c r="K408" t="str">
        <f>"XJXYDYJCPTTSM"</f>
        <v>XJXYDYJCPTTSM</v>
      </c>
      <c r="L408" t="str">
        <f>"XANBUOSSAAOSAS"</f>
        <v>XANBUOSSAAOSAS</v>
      </c>
      <c r="M408">
        <v>12</v>
      </c>
      <c r="N408" t="str">
        <f t="shared" si="155"/>
        <v>250104014-a</v>
      </c>
      <c r="O408" t="str">
        <f t="shared" si="153"/>
        <v>项</v>
      </c>
      <c r="P408" t="str">
        <f t="shared" si="139"/>
        <v>检验费</v>
      </c>
    </row>
    <row r="409" spans="1:16">
      <c r="A409" t="str">
        <f>"细菌性阴道炎检查(唾液酸苷酶）"</f>
        <v>细菌性阴道炎检查(唾液酸苷酶）</v>
      </c>
      <c r="B409" t="str">
        <f>"250104014-a-4"</f>
        <v>250104014-a-4</v>
      </c>
      <c r="C409" t="str">
        <f t="shared" si="136"/>
        <v>检验</v>
      </c>
      <c r="D409" t="str">
        <f t="shared" si="154"/>
        <v>002501040140000</v>
      </c>
      <c r="G409">
        <v>11</v>
      </c>
      <c r="I409" t="str">
        <f t="shared" si="152"/>
        <v>项</v>
      </c>
      <c r="K409" t="str">
        <f>"XJXYDYJCTYSM"</f>
        <v>XJXYDYJCTYSM</v>
      </c>
      <c r="L409" t="str">
        <f>"XANBUOSSKISAS"</f>
        <v>XANBUOSSKISAS</v>
      </c>
      <c r="M409">
        <v>12</v>
      </c>
      <c r="N409" t="str">
        <f t="shared" si="155"/>
        <v>250104014-a</v>
      </c>
      <c r="O409" t="str">
        <f t="shared" si="153"/>
        <v>项</v>
      </c>
      <c r="P409" t="str">
        <f t="shared" si="139"/>
        <v>检验费</v>
      </c>
    </row>
    <row r="410" spans="1:16">
      <c r="A410" t="str">
        <f>"细菌性阴道炎检查（乙酰氨基葡萄糖）"</f>
        <v>细菌性阴道炎检查（乙酰氨基葡萄糖）</v>
      </c>
      <c r="B410" t="str">
        <f>"250104014-a-5"</f>
        <v>250104014-a-5</v>
      </c>
      <c r="C410" t="str">
        <f t="shared" si="136"/>
        <v>检验</v>
      </c>
      <c r="D410" t="str">
        <f t="shared" si="154"/>
        <v>002501040140000</v>
      </c>
      <c r="G410">
        <v>11</v>
      </c>
      <c r="I410" t="str">
        <f t="shared" si="152"/>
        <v>项</v>
      </c>
      <c r="K410" t="str">
        <f>"XJXYDYJC"</f>
        <v>XJXYDYJC</v>
      </c>
      <c r="L410" t="str">
        <f>"XANBUOSS"</f>
        <v>XANBUOSS</v>
      </c>
      <c r="M410">
        <v>12</v>
      </c>
      <c r="N410" t="str">
        <f t="shared" si="155"/>
        <v>250104014-a</v>
      </c>
      <c r="O410" t="str">
        <f t="shared" si="153"/>
        <v>项</v>
      </c>
      <c r="P410" t="str">
        <f t="shared" si="139"/>
        <v>检验费</v>
      </c>
    </row>
    <row r="411" spans="1:16">
      <c r="A411" t="str">
        <f>"血浆凝血酶原时间测定(PT)"</f>
        <v>血浆凝血酶原时间测定(PT)</v>
      </c>
      <c r="B411">
        <v>250203020</v>
      </c>
      <c r="C411" t="str">
        <f t="shared" si="136"/>
        <v>检验</v>
      </c>
      <c r="D411" t="str">
        <f>"002502030200000"</f>
        <v>002502030200000</v>
      </c>
      <c r="G411">
        <v>15</v>
      </c>
      <c r="I411" t="str">
        <f t="shared" si="152"/>
        <v>项</v>
      </c>
      <c r="K411" t="str">
        <f>"XJNXMYSJCD(PT)"</f>
        <v>XJNXMYSJCD(PT)</v>
      </c>
      <c r="L411" t="str">
        <f>"TUUTSDJUIP(pt)"</f>
        <v>TUUTSDJUIP(pt)</v>
      </c>
      <c r="M411">
        <v>15</v>
      </c>
      <c r="N411">
        <v>250203020</v>
      </c>
      <c r="O411" t="str">
        <f t="shared" si="153"/>
        <v>项</v>
      </c>
      <c r="P411" t="str">
        <f t="shared" si="139"/>
        <v>检验费</v>
      </c>
    </row>
    <row r="412" spans="1:16">
      <c r="A412" t="str">
        <f>"活化部分凝血活酶时间测定(APTT)"</f>
        <v>活化部分凝血活酶时间测定(APTT)</v>
      </c>
      <c r="B412">
        <v>250203025</v>
      </c>
      <c r="C412" t="str">
        <f t="shared" si="136"/>
        <v>检验</v>
      </c>
      <c r="D412" t="str">
        <f>"002502030250000"</f>
        <v>002502030250000</v>
      </c>
      <c r="G412">
        <v>15</v>
      </c>
      <c r="I412" t="str">
        <f t="shared" si="152"/>
        <v>项</v>
      </c>
      <c r="K412" t="str">
        <f>"HHBFNXHMSJCD(APTT)"</f>
        <v>HHBFNXHMSJCD(APTT)</v>
      </c>
      <c r="L412" t="str">
        <f>"IWUWUTISJUIP(aptt)"</f>
        <v>IWUWUTISJUIP(aptt)</v>
      </c>
      <c r="M412">
        <v>20</v>
      </c>
      <c r="N412">
        <v>250203025</v>
      </c>
      <c r="O412" t="str">
        <f t="shared" si="153"/>
        <v>项</v>
      </c>
      <c r="P412" t="str">
        <f t="shared" si="139"/>
        <v>检验费</v>
      </c>
    </row>
    <row r="413" spans="1:16">
      <c r="A413" t="str">
        <f>"(FIB)血浆纤维蛋白原测定"</f>
        <v>(FIB)血浆纤维蛋白原测定</v>
      </c>
      <c r="B413">
        <v>250203030</v>
      </c>
      <c r="C413" t="str">
        <f t="shared" si="136"/>
        <v>检验</v>
      </c>
      <c r="D413" t="str">
        <f>"002502030300000"</f>
        <v>002502030300000</v>
      </c>
      <c r="G413">
        <v>15</v>
      </c>
      <c r="I413" t="str">
        <f t="shared" si="152"/>
        <v>项</v>
      </c>
      <c r="K413" t="str">
        <f>"(FIB)XJXWDBYCD"</f>
        <v>(FIB)XJXWDBYCD</v>
      </c>
      <c r="L413" t="str">
        <f>"FIBTUXXNRDIP"</f>
        <v>FIBTUXXNRDIP</v>
      </c>
      <c r="M413">
        <v>15</v>
      </c>
      <c r="N413">
        <v>250203030</v>
      </c>
      <c r="O413" t="str">
        <f t="shared" si="153"/>
        <v>项</v>
      </c>
      <c r="P413" t="str">
        <f t="shared" si="139"/>
        <v>检验费</v>
      </c>
    </row>
    <row r="414" spans="1:16">
      <c r="A414" t="str">
        <f>"凝血酶时间测定(TT)"</f>
        <v>凝血酶时间测定(TT)</v>
      </c>
      <c r="B414">
        <v>250203035</v>
      </c>
      <c r="C414" t="str">
        <f t="shared" si="136"/>
        <v>检验</v>
      </c>
      <c r="D414" t="str">
        <f>"002502030350000"</f>
        <v>002502030350000</v>
      </c>
      <c r="G414">
        <v>12</v>
      </c>
      <c r="I414" t="str">
        <f t="shared" si="152"/>
        <v>项</v>
      </c>
      <c r="K414" t="str">
        <f>"NXMSJCD(TT)"</f>
        <v>NXMSJCD(TT)</v>
      </c>
      <c r="L414" t="str">
        <f>"UTSJUIP(tt)"</f>
        <v>UTSJUIP(tt)</v>
      </c>
      <c r="M414">
        <v>12</v>
      </c>
      <c r="N414">
        <v>250203035</v>
      </c>
      <c r="O414" t="str">
        <f t="shared" si="153"/>
        <v>项</v>
      </c>
      <c r="P414" t="str">
        <f t="shared" si="139"/>
        <v>检验费</v>
      </c>
    </row>
    <row r="415" spans="1:16">
      <c r="A415" t="str">
        <f>"血浆纤溶酶原活性测定(PLGA)"</f>
        <v>血浆纤溶酶原活性测定(PLGA)</v>
      </c>
      <c r="B415">
        <v>250203043</v>
      </c>
      <c r="C415" t="str">
        <f t="shared" si="136"/>
        <v>检验</v>
      </c>
      <c r="D415" t="str">
        <f>"002502030430000"</f>
        <v>002502030430000</v>
      </c>
      <c r="G415">
        <v>25</v>
      </c>
      <c r="I415" t="str">
        <f t="shared" si="152"/>
        <v>项</v>
      </c>
      <c r="K415" t="str">
        <f>"XJXRMYHXCD(PLGA)"</f>
        <v>XJXRMYHXCD(PLGA)</v>
      </c>
      <c r="L415" t="str">
        <f>"TUXISDINIP(plga)"</f>
        <v>TUXISDINIP(plga)</v>
      </c>
      <c r="M415">
        <v>25</v>
      </c>
      <c r="N415">
        <v>250203043</v>
      </c>
      <c r="O415" t="str">
        <f t="shared" si="153"/>
        <v>项</v>
      </c>
      <c r="P415" t="str">
        <f t="shared" si="139"/>
        <v>检验费</v>
      </c>
    </row>
    <row r="416" spans="1:16">
      <c r="A416" t="str">
        <f>"血浆D-二聚体测定（D-Dimer）"</f>
        <v>血浆D-二聚体测定（D-Dimer）</v>
      </c>
      <c r="B416" t="str">
        <f>"250203066-a"</f>
        <v>250203066-a</v>
      </c>
      <c r="C416" t="str">
        <f t="shared" si="136"/>
        <v>检验</v>
      </c>
      <c r="G416">
        <v>56</v>
      </c>
      <c r="I416" t="str">
        <f>"次"</f>
        <v>次</v>
      </c>
      <c r="K416" t="str">
        <f>"XJDEJTCDDDIMER"</f>
        <v>XJDEJTCDDDIMER</v>
      </c>
      <c r="L416" t="str">
        <f>"TUDFBWIPDDIMER"</f>
        <v>TUDFBWIPDDIMER</v>
      </c>
      <c r="M416">
        <v>56</v>
      </c>
      <c r="O416" t="str">
        <f>"次"</f>
        <v>次</v>
      </c>
      <c r="P416" t="str">
        <f t="shared" si="139"/>
        <v>检验费</v>
      </c>
    </row>
    <row r="417" spans="1:16">
      <c r="A417" t="str">
        <f>"白细胞抗原B27测定(HLA-B27)"</f>
        <v>白细胞抗原B27测定(HLA-B27)</v>
      </c>
      <c r="B417">
        <v>250203068</v>
      </c>
      <c r="C417" t="str">
        <f t="shared" si="136"/>
        <v>检验</v>
      </c>
      <c r="G417">
        <v>100</v>
      </c>
      <c r="I417" t="str">
        <f t="shared" ref="I417:I428" si="156">"项"</f>
        <v>项</v>
      </c>
      <c r="K417" t="str">
        <f>"BXBKYB27CD(HLA-B"</f>
        <v>BXBKYB27CD(HLA-B</v>
      </c>
      <c r="L417" t="str">
        <f>"RXERDB27IPHLAB27"</f>
        <v>RXERDB27IPHLAB27</v>
      </c>
      <c r="M417">
        <v>100</v>
      </c>
      <c r="N417">
        <v>250203068</v>
      </c>
      <c r="O417" t="str">
        <f t="shared" ref="O417:O428" si="157">"项"</f>
        <v>项</v>
      </c>
      <c r="P417" t="str">
        <f t="shared" si="139"/>
        <v>检验费</v>
      </c>
    </row>
    <row r="418" spans="1:16">
      <c r="A418" t="str">
        <f>"红细胞流变特性检测"</f>
        <v>红细胞流变特性检测</v>
      </c>
      <c r="B418">
        <v>250203070</v>
      </c>
      <c r="C418" t="str">
        <f t="shared" si="136"/>
        <v>检验</v>
      </c>
      <c r="D418" t="str">
        <f>"002502030700000"</f>
        <v>002502030700000</v>
      </c>
      <c r="G418">
        <v>8</v>
      </c>
      <c r="I418" t="str">
        <f>"次"</f>
        <v>次</v>
      </c>
      <c r="K418" t="str">
        <f>"HXBLBTXJC"</f>
        <v>HXBLBTXJC</v>
      </c>
      <c r="L418" t="str">
        <f>"XXEIYTNSI"</f>
        <v>XXEIYTNSI</v>
      </c>
      <c r="M418">
        <v>15</v>
      </c>
      <c r="N418">
        <v>250203070</v>
      </c>
      <c r="O418" t="str">
        <f>"次"</f>
        <v>次</v>
      </c>
      <c r="P418" t="str">
        <f t="shared" si="139"/>
        <v>检验费</v>
      </c>
    </row>
    <row r="419" spans="1:16">
      <c r="A419" t="str">
        <f>"全血粘度测定"</f>
        <v>全血粘度测定</v>
      </c>
      <c r="B419">
        <v>250203071</v>
      </c>
      <c r="C419" t="str">
        <f t="shared" si="136"/>
        <v>检验</v>
      </c>
      <c r="G419">
        <v>15</v>
      </c>
      <c r="I419" t="str">
        <f t="shared" si="156"/>
        <v>项</v>
      </c>
      <c r="K419" t="str">
        <f>"QXZDCD"</f>
        <v>QXZDCD</v>
      </c>
      <c r="L419" t="str">
        <f>"WTOYIP"</f>
        <v>WTOYIP</v>
      </c>
      <c r="M419">
        <v>15</v>
      </c>
      <c r="N419">
        <v>250203071</v>
      </c>
      <c r="O419" t="str">
        <f t="shared" si="157"/>
        <v>项</v>
      </c>
      <c r="P419" t="str">
        <f t="shared" si="139"/>
        <v>检验费</v>
      </c>
    </row>
    <row r="420" spans="1:16">
      <c r="A420" t="str">
        <f>"全血粘度测定（低切）"</f>
        <v>全血粘度测定（低切）</v>
      </c>
      <c r="B420" t="str">
        <f>"250203071-1"</f>
        <v>250203071-1</v>
      </c>
      <c r="C420" t="str">
        <f t="shared" si="136"/>
        <v>检验</v>
      </c>
      <c r="D420" t="str">
        <f t="shared" ref="D420:D422" si="158">"002502030710000"</f>
        <v>002502030710000</v>
      </c>
      <c r="G420">
        <v>15</v>
      </c>
      <c r="I420" t="str">
        <f t="shared" si="156"/>
        <v>项</v>
      </c>
      <c r="K420" t="str">
        <f>"QXZDCD（DQ）"</f>
        <v>QXZDCD（DQ）</v>
      </c>
      <c r="L420" t="str">
        <f>"WTOYIPWA"</f>
        <v>WTOYIPWA</v>
      </c>
      <c r="M420">
        <v>15</v>
      </c>
      <c r="N420">
        <v>250203071</v>
      </c>
      <c r="O420" t="str">
        <f t="shared" si="157"/>
        <v>项</v>
      </c>
      <c r="P420" t="str">
        <f t="shared" si="139"/>
        <v>检验费</v>
      </c>
    </row>
    <row r="421" spans="1:16">
      <c r="A421" t="str">
        <f>"全血粘度测定（中切）"</f>
        <v>全血粘度测定（中切）</v>
      </c>
      <c r="B421" t="str">
        <f>"250203071-2"</f>
        <v>250203071-2</v>
      </c>
      <c r="C421" t="str">
        <f t="shared" si="136"/>
        <v>检验</v>
      </c>
      <c r="D421" t="str">
        <f t="shared" si="158"/>
        <v>002502030710000</v>
      </c>
      <c r="G421">
        <v>15</v>
      </c>
      <c r="I421" t="str">
        <f t="shared" si="156"/>
        <v>项</v>
      </c>
      <c r="K421" t="str">
        <f>"QXZDCD（ZQ）"</f>
        <v>QXZDCD（ZQ）</v>
      </c>
      <c r="L421" t="str">
        <f>"WTOYIPKA"</f>
        <v>WTOYIPKA</v>
      </c>
      <c r="M421">
        <v>15</v>
      </c>
      <c r="N421">
        <v>250203071</v>
      </c>
      <c r="O421" t="str">
        <f t="shared" si="157"/>
        <v>项</v>
      </c>
      <c r="P421" t="str">
        <f t="shared" si="139"/>
        <v>检验费</v>
      </c>
    </row>
    <row r="422" spans="1:16">
      <c r="A422" t="str">
        <f>"全血粘度测定（高切）"</f>
        <v>全血粘度测定（高切）</v>
      </c>
      <c r="B422" t="str">
        <f>"250203071-3"</f>
        <v>250203071-3</v>
      </c>
      <c r="C422" t="str">
        <f t="shared" si="136"/>
        <v>检验</v>
      </c>
      <c r="D422" t="str">
        <f t="shared" si="158"/>
        <v>002502030710000</v>
      </c>
      <c r="G422">
        <v>15</v>
      </c>
      <c r="I422" t="str">
        <f t="shared" si="156"/>
        <v>项</v>
      </c>
      <c r="K422" t="str">
        <f>"QXZDCD（GQ）"</f>
        <v>QXZDCD（GQ）</v>
      </c>
      <c r="L422" t="str">
        <f>"WTOYIPYA"</f>
        <v>WTOYIPYA</v>
      </c>
      <c r="M422">
        <v>15</v>
      </c>
      <c r="N422">
        <v>250203071</v>
      </c>
      <c r="O422" t="str">
        <f t="shared" si="157"/>
        <v>项</v>
      </c>
      <c r="P422" t="str">
        <f t="shared" si="139"/>
        <v>检验费</v>
      </c>
    </row>
    <row r="423" spans="1:16">
      <c r="A423" t="str">
        <f>"血浆粘度测定"</f>
        <v>血浆粘度测定</v>
      </c>
      <c r="B423">
        <v>250203072</v>
      </c>
      <c r="C423" t="str">
        <f t="shared" si="136"/>
        <v>检验</v>
      </c>
      <c r="D423" t="str">
        <f>"002502030720000"</f>
        <v>002502030720000</v>
      </c>
      <c r="G423">
        <v>5</v>
      </c>
      <c r="I423" t="str">
        <f t="shared" si="156"/>
        <v>项</v>
      </c>
      <c r="K423" t="str">
        <f>"XJZDCD"</f>
        <v>XJZDCD</v>
      </c>
      <c r="L423" t="str">
        <f>"TUOYIP"</f>
        <v>TUOYIP</v>
      </c>
      <c r="M423">
        <v>5</v>
      </c>
      <c r="N423">
        <v>250203072</v>
      </c>
      <c r="O423" t="str">
        <f t="shared" si="157"/>
        <v>项</v>
      </c>
      <c r="P423" t="str">
        <f t="shared" si="139"/>
        <v>检验费</v>
      </c>
    </row>
    <row r="424" spans="1:16">
      <c r="A424" t="str">
        <f>"血清总蛋白测定化学法"</f>
        <v>血清总蛋白测定化学法</v>
      </c>
      <c r="B424" t="str">
        <f>"250301001-a"</f>
        <v>250301001-a</v>
      </c>
      <c r="C424" t="str">
        <f t="shared" si="136"/>
        <v>检验</v>
      </c>
      <c r="D424" t="str">
        <f>"002503010010000"</f>
        <v>002503010010000</v>
      </c>
      <c r="G424">
        <v>4</v>
      </c>
      <c r="I424" t="str">
        <f t="shared" si="156"/>
        <v>项</v>
      </c>
      <c r="K424" t="str">
        <f>"XQZDBCDHXF"</f>
        <v>XQZDBCDHXF</v>
      </c>
      <c r="L424" t="str">
        <f>"TIUNRIPWII"</f>
        <v>TIUNRIPWII</v>
      </c>
      <c r="M424">
        <v>4</v>
      </c>
      <c r="N424" t="str">
        <f>"250301001-a"</f>
        <v>250301001-a</v>
      </c>
      <c r="O424" t="str">
        <f t="shared" si="157"/>
        <v>项</v>
      </c>
      <c r="P424" t="str">
        <f t="shared" si="139"/>
        <v>检验费</v>
      </c>
    </row>
    <row r="425" spans="1:16">
      <c r="A425" t="str">
        <f>"血清白蛋白测定化学法"</f>
        <v>血清白蛋白测定化学法</v>
      </c>
      <c r="B425" t="str">
        <f>"250301002-a"</f>
        <v>250301002-a</v>
      </c>
      <c r="C425" t="str">
        <f t="shared" si="136"/>
        <v>检验</v>
      </c>
      <c r="D425" t="str">
        <f>"002503010020000"</f>
        <v>002503010020000</v>
      </c>
      <c r="G425">
        <v>4</v>
      </c>
      <c r="I425" t="str">
        <f t="shared" si="156"/>
        <v>项</v>
      </c>
      <c r="K425" t="str">
        <f>"XQBDBCDHXF"</f>
        <v>XQBDBCDHXF</v>
      </c>
      <c r="L425" t="str">
        <f>"TIRNRIPWII"</f>
        <v>TIRNRIPWII</v>
      </c>
      <c r="M425">
        <v>4</v>
      </c>
      <c r="N425" t="str">
        <f>"250301002-a"</f>
        <v>250301002-a</v>
      </c>
      <c r="O425" t="str">
        <f t="shared" si="157"/>
        <v>项</v>
      </c>
      <c r="P425" t="str">
        <f t="shared" si="139"/>
        <v>检验费</v>
      </c>
    </row>
    <row r="426" spans="1:16">
      <c r="A426" t="str">
        <f>"β2微球蛋白测定"</f>
        <v>β2微球蛋白测定</v>
      </c>
      <c r="B426">
        <v>250301014</v>
      </c>
      <c r="C426" t="str">
        <f t="shared" si="136"/>
        <v>检验</v>
      </c>
      <c r="D426" t="str">
        <f>"002503010140000"</f>
        <v>002503010140000</v>
      </c>
      <c r="G426">
        <v>15</v>
      </c>
      <c r="I426" t="str">
        <f t="shared" si="156"/>
        <v>项</v>
      </c>
      <c r="K426" t="str">
        <f>"Β2WQDBCD"</f>
        <v>Β2WQDBCD</v>
      </c>
      <c r="L426" t="str">
        <f>"2TGNRIP"</f>
        <v>2TGNRIP</v>
      </c>
      <c r="M426">
        <v>15</v>
      </c>
      <c r="N426">
        <v>250301014</v>
      </c>
      <c r="O426" t="str">
        <f t="shared" si="157"/>
        <v>项</v>
      </c>
      <c r="P426" t="str">
        <f t="shared" si="139"/>
        <v>检验费</v>
      </c>
    </row>
    <row r="427" spans="1:16">
      <c r="A427" t="str">
        <f>"β2微球蛋白测定化学发光法*"</f>
        <v>β2微球蛋白测定化学发光法*</v>
      </c>
      <c r="B427" t="str">
        <f>"250301014-a"</f>
        <v>250301014-a</v>
      </c>
      <c r="C427" t="str">
        <f t="shared" si="136"/>
        <v>检验</v>
      </c>
      <c r="D427" t="str">
        <f>"002503010140000"</f>
        <v>002503010140000</v>
      </c>
      <c r="G427">
        <v>45</v>
      </c>
      <c r="I427" t="str">
        <f t="shared" si="156"/>
        <v>项</v>
      </c>
      <c r="K427" t="str">
        <f>"Β2WQDBCDHXFGF*"</f>
        <v>Β2WQDBCDHXFGF*</v>
      </c>
      <c r="L427" t="str">
        <f>"2TGNRIPWINII"</f>
        <v>2TGNRIPWINII</v>
      </c>
      <c r="M427">
        <v>45</v>
      </c>
      <c r="N427" t="str">
        <f>"250301014-a"</f>
        <v>250301014-a</v>
      </c>
      <c r="O427" t="str">
        <f t="shared" si="157"/>
        <v>项</v>
      </c>
      <c r="P427" t="str">
        <f t="shared" si="139"/>
        <v>检验费</v>
      </c>
    </row>
    <row r="428" spans="1:16">
      <c r="A428" t="str">
        <f>"超敏C反应蛋白测定（各种免疫学方法）"</f>
        <v>超敏C反应蛋白测定（各种免疫学方法）</v>
      </c>
      <c r="B428" t="str">
        <f>"250301017-c"</f>
        <v>250301017-c</v>
      </c>
      <c r="C428" t="str">
        <f t="shared" si="136"/>
        <v>检验</v>
      </c>
      <c r="D428" t="str">
        <f>"002503010170000"</f>
        <v>002503010170000</v>
      </c>
      <c r="G428">
        <v>30</v>
      </c>
      <c r="I428" t="str">
        <f t="shared" si="156"/>
        <v>项</v>
      </c>
      <c r="K428" t="str">
        <f>"CMCFYDBCDGZMYXFF"</f>
        <v>CMCFYDBCDGZMYXFF</v>
      </c>
      <c r="L428" t="str">
        <f>"FTCRYNRIPTTQUIYI"</f>
        <v>FTCRYNRIPTTQUIYI</v>
      </c>
      <c r="M428">
        <v>35</v>
      </c>
      <c r="N428" t="str">
        <f>"250301017-c"</f>
        <v>250301017-c</v>
      </c>
      <c r="O428" t="str">
        <f t="shared" si="157"/>
        <v>项</v>
      </c>
      <c r="P428" t="str">
        <f t="shared" si="139"/>
        <v>检验费</v>
      </c>
    </row>
    <row r="429" spans="1:16">
      <c r="A429" t="str">
        <f>"视黄醇结合蛋白测定"</f>
        <v>视黄醇结合蛋白测定</v>
      </c>
      <c r="B429">
        <v>250301018</v>
      </c>
      <c r="C429" t="str">
        <f t="shared" si="136"/>
        <v>检验</v>
      </c>
      <c r="D429" t="str">
        <f>"002503010180000"</f>
        <v>002503010180000</v>
      </c>
      <c r="G429">
        <v>15</v>
      </c>
      <c r="I429" t="str">
        <f>"-"</f>
        <v>-</v>
      </c>
      <c r="K429" t="str">
        <f>"SHCJHDBCD"</f>
        <v>SHCJHDBCD</v>
      </c>
      <c r="L429" t="str">
        <f>"PASXWNRIP"</f>
        <v>PASXWNRIP</v>
      </c>
      <c r="M429">
        <v>15</v>
      </c>
      <c r="N429">
        <v>250301018</v>
      </c>
      <c r="O429" t="str">
        <f t="shared" ref="O429:O436" si="159">"次"</f>
        <v>次</v>
      </c>
      <c r="P429" t="str">
        <f t="shared" si="139"/>
        <v>检验费</v>
      </c>
    </row>
    <row r="430" spans="1:16">
      <c r="A430" t="str">
        <f>"淀粉样蛋白A测定"</f>
        <v>淀粉样蛋白A测定</v>
      </c>
      <c r="B430">
        <v>250301019</v>
      </c>
      <c r="C430" t="str">
        <f t="shared" si="136"/>
        <v>检验</v>
      </c>
      <c r="G430">
        <v>25</v>
      </c>
      <c r="I430" t="str">
        <f>"次"</f>
        <v>次</v>
      </c>
      <c r="K430" t="str">
        <f>"DFYDBACD"</f>
        <v>DFYDBACD</v>
      </c>
      <c r="L430" t="str">
        <f>"IOSNRAIP"</f>
        <v>IOSNRAIP</v>
      </c>
      <c r="M430">
        <v>25</v>
      </c>
      <c r="O430" t="str">
        <f t="shared" si="159"/>
        <v>次</v>
      </c>
      <c r="P430" t="str">
        <f t="shared" si="139"/>
        <v>检验费</v>
      </c>
    </row>
    <row r="431" spans="1:16">
      <c r="A431" t="str">
        <f>"人β淀粉样蛋白1-42（Aβ1-42）检测"</f>
        <v>人β淀粉样蛋白1-42（Aβ1-42）检测</v>
      </c>
      <c r="B431">
        <v>250301023</v>
      </c>
      <c r="C431" t="str">
        <f t="shared" si="136"/>
        <v>检验</v>
      </c>
      <c r="G431">
        <v>200</v>
      </c>
      <c r="I431" t="str">
        <f>"项"</f>
        <v>项</v>
      </c>
      <c r="K431" t="str">
        <f>"RDFYDB142A142JC"</f>
        <v>RDFYDB142A142JC</v>
      </c>
      <c r="L431" t="str">
        <f>"WIOSNR142A142SI"</f>
        <v>WIOSNR142A142SI</v>
      </c>
      <c r="M431">
        <v>380</v>
      </c>
      <c r="N431">
        <v>250301023</v>
      </c>
      <c r="O431" t="str">
        <f>"项"</f>
        <v>项</v>
      </c>
      <c r="P431" t="str">
        <f t="shared" si="139"/>
        <v>检验费</v>
      </c>
    </row>
    <row r="432" spans="1:16">
      <c r="A432" t="str">
        <f>"葡萄糖测定"</f>
        <v>葡萄糖测定</v>
      </c>
      <c r="B432" t="str">
        <f>"250302001-1"</f>
        <v>250302001-1</v>
      </c>
      <c r="C432" t="str">
        <f t="shared" si="136"/>
        <v>检验</v>
      </c>
      <c r="D432" t="str">
        <f t="shared" ref="D432:D435" si="160">"002503020010000"</f>
        <v>002503020010000</v>
      </c>
      <c r="G432">
        <v>4</v>
      </c>
      <c r="I432" t="str">
        <f>"次"</f>
        <v>次</v>
      </c>
      <c r="K432" t="str">
        <f>"PTTCD"</f>
        <v>PTTCD</v>
      </c>
      <c r="L432" t="str">
        <f>"AAOIP"</f>
        <v>AAOIP</v>
      </c>
      <c r="M432">
        <v>4</v>
      </c>
      <c r="N432">
        <v>250302001</v>
      </c>
      <c r="O432" t="str">
        <f t="shared" si="159"/>
        <v>次</v>
      </c>
      <c r="P432" t="str">
        <f t="shared" si="139"/>
        <v>检验费</v>
      </c>
    </row>
    <row r="433" spans="1:16">
      <c r="A433" t="str">
        <f>"葡萄糖测定（各种酶法、酶电极法）(脑脊液)"</f>
        <v>葡萄糖测定（各种酶法、酶电极法）(脑脊液)</v>
      </c>
      <c r="B433" t="str">
        <f>"250302001-2"</f>
        <v>250302001-2</v>
      </c>
      <c r="C433" t="str">
        <f t="shared" si="136"/>
        <v>检验</v>
      </c>
      <c r="D433" t="str">
        <f t="shared" si="160"/>
        <v>002503020010000</v>
      </c>
      <c r="G433">
        <v>4</v>
      </c>
      <c r="I433">
        <v>1</v>
      </c>
      <c r="K433" t="str">
        <f>"PTTCD（GZMF、MDJF）"</f>
        <v>PTTCD（GZMF、MDJF）</v>
      </c>
      <c r="L433" t="str">
        <f>"AAOIPTTSISJSIEII"</f>
        <v>AAOIPTTSISJSIEII</v>
      </c>
      <c r="M433">
        <v>4</v>
      </c>
      <c r="N433">
        <v>250302001</v>
      </c>
      <c r="O433" t="str">
        <f t="shared" si="159"/>
        <v>次</v>
      </c>
      <c r="P433" t="str">
        <f t="shared" si="139"/>
        <v>检验费</v>
      </c>
    </row>
    <row r="434" spans="1:16">
      <c r="A434" t="str">
        <f>"葡萄糖测定（各种酶法、酶电极法）(尿标本)"</f>
        <v>葡萄糖测定（各种酶法、酶电极法）(尿标本)</v>
      </c>
      <c r="B434" t="str">
        <f>"250302001-3"</f>
        <v>250302001-3</v>
      </c>
      <c r="C434" t="str">
        <f t="shared" si="136"/>
        <v>检验</v>
      </c>
      <c r="D434" t="str">
        <f t="shared" si="160"/>
        <v>002503020010000</v>
      </c>
      <c r="G434">
        <v>4</v>
      </c>
      <c r="I434">
        <v>1</v>
      </c>
      <c r="K434" t="str">
        <f>"PTTCD（GZMF、MDJF）"</f>
        <v>PTTCD（GZMF、MDJF）</v>
      </c>
      <c r="L434" t="str">
        <f>"AAOIPTTSISJSINSS"</f>
        <v>AAOIPTTSISJSINSS</v>
      </c>
      <c r="M434">
        <v>4</v>
      </c>
      <c r="N434">
        <v>250302001</v>
      </c>
      <c r="O434" t="str">
        <f t="shared" si="159"/>
        <v>次</v>
      </c>
      <c r="P434" t="str">
        <f t="shared" si="139"/>
        <v>检验费</v>
      </c>
    </row>
    <row r="435" spans="1:16">
      <c r="A435" t="str">
        <f>"葡萄糖测定（各种酶法、酶电极法）(血清)"</f>
        <v>葡萄糖测定（各种酶法、酶电极法）(血清)</v>
      </c>
      <c r="B435" t="str">
        <f>"250302001-4"</f>
        <v>250302001-4</v>
      </c>
      <c r="C435" t="str">
        <f t="shared" si="136"/>
        <v>检验</v>
      </c>
      <c r="D435" t="str">
        <f t="shared" si="160"/>
        <v>002503020010000</v>
      </c>
      <c r="G435">
        <v>4</v>
      </c>
      <c r="I435">
        <v>1</v>
      </c>
      <c r="K435" t="str">
        <f>"PTTCDGZMFMDJFXQ"</f>
        <v>PTTCDGZMFMDJFXQ</v>
      </c>
      <c r="L435" t="str">
        <f>"AAOIPTTSISJSITI"</f>
        <v>AAOIPTTSISJSITI</v>
      </c>
      <c r="M435">
        <v>4</v>
      </c>
      <c r="N435">
        <v>250302001</v>
      </c>
      <c r="O435" t="str">
        <f t="shared" si="159"/>
        <v>次</v>
      </c>
      <c r="P435" t="str">
        <f t="shared" si="139"/>
        <v>检验费</v>
      </c>
    </row>
    <row r="436" spans="1:16">
      <c r="A436" t="str">
        <f>"糖化血红蛋白测定"</f>
        <v>糖化血红蛋白测定</v>
      </c>
      <c r="B436" t="str">
        <f>"250302003-a"</f>
        <v>250302003-a</v>
      </c>
      <c r="C436" t="str">
        <f t="shared" si="136"/>
        <v>检验</v>
      </c>
      <c r="D436" t="str">
        <f>"002503020030000"</f>
        <v>002503020030000</v>
      </c>
      <c r="G436">
        <v>30</v>
      </c>
      <c r="I436" t="str">
        <f>"次"</f>
        <v>次</v>
      </c>
      <c r="K436" t="str">
        <f>"THXHDBCD"</f>
        <v>THXHDBCD</v>
      </c>
      <c r="L436" t="str">
        <f>"OWTXNRIP"</f>
        <v>OWTXNRIP</v>
      </c>
      <c r="M436">
        <v>60</v>
      </c>
      <c r="N436" t="str">
        <f>"250302003-a"</f>
        <v>250302003-a</v>
      </c>
      <c r="O436" t="str">
        <f t="shared" si="159"/>
        <v>次</v>
      </c>
      <c r="P436" t="str">
        <f t="shared" si="139"/>
        <v>检验费</v>
      </c>
    </row>
    <row r="437" spans="1:16">
      <c r="A437" t="str">
        <f>"血清总胆固醇测定化学法、酶法"</f>
        <v>血清总胆固醇测定化学法、酶法</v>
      </c>
      <c r="B437" t="str">
        <f>"250303001-a"</f>
        <v>250303001-a</v>
      </c>
      <c r="C437" t="str">
        <f t="shared" si="136"/>
        <v>检验</v>
      </c>
      <c r="D437" t="str">
        <f>"002503030010000"</f>
        <v>002503030010000</v>
      </c>
      <c r="G437">
        <v>4</v>
      </c>
      <c r="I437" t="str">
        <f t="shared" ref="I437:I442" si="161">"项"</f>
        <v>项</v>
      </c>
      <c r="K437" t="str">
        <f>"XQZDGCCDHXFMF"</f>
        <v>XQZDGCCDHXFMF</v>
      </c>
      <c r="L437" t="str">
        <f>"TIUELSIPWIISI"</f>
        <v>TIUELSIPWIISI</v>
      </c>
      <c r="M437">
        <v>4</v>
      </c>
      <c r="N437" t="str">
        <f>"250303001-a"</f>
        <v>250303001-a</v>
      </c>
      <c r="O437" t="str">
        <f t="shared" ref="O437:O444" si="162">"项"</f>
        <v>项</v>
      </c>
      <c r="P437" t="str">
        <f t="shared" si="139"/>
        <v>检验费</v>
      </c>
    </row>
    <row r="438" spans="1:16">
      <c r="A438" t="str">
        <f>"血清甘油三酯测定化学法、酶法"</f>
        <v>血清甘油三酯测定化学法、酶法</v>
      </c>
      <c r="B438" t="str">
        <f>"250303002-a"</f>
        <v>250303002-a</v>
      </c>
      <c r="C438" t="str">
        <f t="shared" si="136"/>
        <v>检验</v>
      </c>
      <c r="D438" t="str">
        <f>"002503030020000"</f>
        <v>002503030020000</v>
      </c>
      <c r="G438">
        <v>5</v>
      </c>
      <c r="I438" t="str">
        <f t="shared" si="161"/>
        <v>项</v>
      </c>
      <c r="K438" t="str">
        <f>"XQGYSZCDHXFZMF"</f>
        <v>XQGYSZCDHXFZMF</v>
      </c>
      <c r="L438" t="str">
        <f>"TIAIDSIPWIISI"</f>
        <v>TIAIDSIPWIISI</v>
      </c>
      <c r="M438">
        <v>5</v>
      </c>
      <c r="N438" t="str">
        <f>"250303002-a"</f>
        <v>250303002-a</v>
      </c>
      <c r="O438" t="str">
        <f t="shared" si="162"/>
        <v>项</v>
      </c>
      <c r="P438" t="str">
        <f t="shared" si="139"/>
        <v>检验费</v>
      </c>
    </row>
    <row r="439" spans="1:16">
      <c r="A439" t="str">
        <f>"血清高密度脂蛋白胆固醇测定"</f>
        <v>血清高密度脂蛋白胆固醇测定</v>
      </c>
      <c r="B439">
        <v>250303004</v>
      </c>
      <c r="C439" t="str">
        <f t="shared" si="136"/>
        <v>检验</v>
      </c>
      <c r="D439" t="str">
        <f>"002503030040000"</f>
        <v>002503030040000</v>
      </c>
      <c r="G439">
        <v>8</v>
      </c>
      <c r="I439" t="str">
        <f t="shared" si="161"/>
        <v>项</v>
      </c>
      <c r="K439" t="str">
        <f>"XQGMDZDBDGCCD"</f>
        <v>XQGMDZDBDGCCD</v>
      </c>
      <c r="L439" t="str">
        <f>"TIYPYENRELSIP"</f>
        <v>TIYPYENRELSIP</v>
      </c>
      <c r="M439">
        <v>8</v>
      </c>
      <c r="N439">
        <v>250303004</v>
      </c>
      <c r="O439" t="str">
        <f t="shared" si="162"/>
        <v>项</v>
      </c>
      <c r="P439" t="str">
        <f t="shared" si="139"/>
        <v>检验费</v>
      </c>
    </row>
    <row r="440" spans="1:16">
      <c r="A440" t="str">
        <f>"血清低密度脂蛋白胆固醇测定其他方法"</f>
        <v>血清低密度脂蛋白胆固醇测定其他方法</v>
      </c>
      <c r="B440" t="str">
        <f>"250303005-a"</f>
        <v>250303005-a</v>
      </c>
      <c r="C440" t="str">
        <f t="shared" si="136"/>
        <v>检验</v>
      </c>
      <c r="D440" t="str">
        <f>"002503030050000"</f>
        <v>002503030050000</v>
      </c>
      <c r="G440">
        <v>8</v>
      </c>
      <c r="I440" t="str">
        <f t="shared" si="161"/>
        <v>项</v>
      </c>
      <c r="K440" t="str">
        <f>"XQDMDZDBDGCCDQTF"</f>
        <v>XQDMDZDBDGCCDQTF</v>
      </c>
      <c r="L440" t="str">
        <f>"TIWPYENRELSIPAWY"</f>
        <v>TIWPYENRELSIPAWY</v>
      </c>
      <c r="M440">
        <v>10</v>
      </c>
      <c r="N440" t="str">
        <f>"250303005-a"</f>
        <v>250303005-a</v>
      </c>
      <c r="O440" t="str">
        <f t="shared" si="162"/>
        <v>项</v>
      </c>
      <c r="P440" t="str">
        <f t="shared" si="139"/>
        <v>检验费</v>
      </c>
    </row>
    <row r="441" spans="1:16">
      <c r="A441" t="str">
        <f>"血清载脂蛋白AⅠ测定"</f>
        <v>血清载脂蛋白AⅠ测定</v>
      </c>
      <c r="B441">
        <v>250303007</v>
      </c>
      <c r="C441" t="str">
        <f t="shared" si="136"/>
        <v>检验</v>
      </c>
      <c r="D441" t="str">
        <f>"002503030070000"</f>
        <v>002503030070000</v>
      </c>
      <c r="G441">
        <v>25</v>
      </c>
      <c r="I441" t="str">
        <f t="shared" si="161"/>
        <v>项</v>
      </c>
      <c r="K441" t="str">
        <f>"XQZZDBAⅠCD"</f>
        <v>XQZZDBAⅠCD</v>
      </c>
      <c r="L441" t="str">
        <f>"TIFENRaIP"</f>
        <v>TIFENRaIP</v>
      </c>
      <c r="M441">
        <v>25</v>
      </c>
      <c r="N441">
        <v>250303007</v>
      </c>
      <c r="O441" t="str">
        <f t="shared" si="162"/>
        <v>项</v>
      </c>
      <c r="P441" t="str">
        <f t="shared" si="139"/>
        <v>检验费</v>
      </c>
    </row>
    <row r="442" spans="1:16">
      <c r="A442" t="str">
        <f>"血清载脂蛋白B测定"</f>
        <v>血清载脂蛋白B测定</v>
      </c>
      <c r="B442">
        <v>250303009</v>
      </c>
      <c r="C442" t="str">
        <f t="shared" si="136"/>
        <v>检验</v>
      </c>
      <c r="D442" t="str">
        <f>"002503030090000"</f>
        <v>002503030090000</v>
      </c>
      <c r="G442">
        <v>25</v>
      </c>
      <c r="I442" t="str">
        <f t="shared" si="161"/>
        <v>项</v>
      </c>
      <c r="K442" t="str">
        <f>"XQZZDBBCD"</f>
        <v>XQZZDBBCD</v>
      </c>
      <c r="L442" t="str">
        <f>"TIFENRbIP"</f>
        <v>TIFENRbIP</v>
      </c>
      <c r="M442">
        <v>25</v>
      </c>
      <c r="N442">
        <v>250303009</v>
      </c>
      <c r="O442" t="str">
        <f t="shared" si="162"/>
        <v>项</v>
      </c>
      <c r="P442" t="str">
        <f t="shared" si="139"/>
        <v>检验费</v>
      </c>
    </row>
    <row r="443" spans="1:16">
      <c r="A443" t="str">
        <f>"血清载脂蛋白α测定（免疫比浊法）"</f>
        <v>血清载脂蛋白α测定（免疫比浊法）</v>
      </c>
      <c r="B443">
        <v>250303013</v>
      </c>
      <c r="C443" t="str">
        <f t="shared" si="136"/>
        <v>检验</v>
      </c>
      <c r="D443" t="str">
        <f>"002503030130000"</f>
        <v>002503030130000</v>
      </c>
      <c r="G443">
        <v>25</v>
      </c>
      <c r="I443" t="str">
        <f>"-"</f>
        <v>-</v>
      </c>
      <c r="K443" t="str">
        <f>"XQZZDBACDMYBZF"</f>
        <v>XQZZDBACDMYBZF</v>
      </c>
      <c r="L443" t="str">
        <f>"TIFENRIPQUXII"</f>
        <v>TIFENRIPQUXII</v>
      </c>
      <c r="M443">
        <v>25</v>
      </c>
      <c r="N443">
        <v>250303013</v>
      </c>
      <c r="O443" t="str">
        <f t="shared" si="162"/>
        <v>项</v>
      </c>
      <c r="P443" t="str">
        <f t="shared" si="139"/>
        <v>检验费</v>
      </c>
    </row>
    <row r="444" spans="1:16">
      <c r="A444" t="str">
        <f>"血清β-羟基丁酸测定"</f>
        <v>血清β-羟基丁酸测定</v>
      </c>
      <c r="B444">
        <v>250303014</v>
      </c>
      <c r="C444" t="str">
        <f t="shared" ref="C444:C507" si="163">"检验"</f>
        <v>检验</v>
      </c>
      <c r="D444" t="str">
        <f>"002503030140000"</f>
        <v>002503030140000</v>
      </c>
      <c r="G444">
        <v>20</v>
      </c>
      <c r="I444" t="str">
        <f t="shared" ref="I444:I454" si="164">"项"</f>
        <v>项</v>
      </c>
      <c r="K444" t="str">
        <f>"XQΒ-QJDSCD"</f>
        <v>XQΒ-QJDSCD</v>
      </c>
      <c r="L444" t="str">
        <f>"TI-UASSIP"</f>
        <v>TI-UASSIP</v>
      </c>
      <c r="M444">
        <v>20</v>
      </c>
      <c r="N444">
        <v>250303014</v>
      </c>
      <c r="O444" t="str">
        <f t="shared" si="162"/>
        <v>项</v>
      </c>
      <c r="P444" t="str">
        <f t="shared" ref="P444:P507" si="165">"检验费"</f>
        <v>检验费</v>
      </c>
    </row>
    <row r="445" spans="1:16">
      <c r="A445" t="str">
        <f>"游离脂肪酸测定"</f>
        <v>游离脂肪酸测定</v>
      </c>
      <c r="B445">
        <v>250303020</v>
      </c>
      <c r="C445" t="str">
        <f t="shared" si="163"/>
        <v>检验</v>
      </c>
      <c r="D445" t="str">
        <f>"002503030150000"</f>
        <v>002503030150000</v>
      </c>
      <c r="G445">
        <v>48</v>
      </c>
      <c r="I445">
        <v>1</v>
      </c>
      <c r="K445" t="str">
        <f>"YLZFSCD"</f>
        <v>YLZFSCD</v>
      </c>
      <c r="L445" t="str">
        <f>"IYEESIP"</f>
        <v>IYEESIP</v>
      </c>
      <c r="M445">
        <v>48</v>
      </c>
      <c r="N445">
        <v>250303020</v>
      </c>
      <c r="O445" t="str">
        <f>"次"</f>
        <v>次</v>
      </c>
      <c r="P445" t="str">
        <f t="shared" si="165"/>
        <v>检验费</v>
      </c>
    </row>
    <row r="446" spans="1:16">
      <c r="A446" t="str">
        <f>"小而密低密度脂蛋白胆固醇(sdLDL-C)测定"</f>
        <v>小而密低密度脂蛋白胆固醇(sdLDL-C)测定</v>
      </c>
      <c r="B446">
        <v>250303021</v>
      </c>
      <c r="C446" t="str">
        <f t="shared" si="163"/>
        <v>检验</v>
      </c>
      <c r="G446">
        <v>25</v>
      </c>
      <c r="I446" t="str">
        <f>"次"</f>
        <v>次</v>
      </c>
      <c r="K446" t="str">
        <f>"XEMDMDZDBDGCSDLD"</f>
        <v>XEMDMDZDBDGCSDLD</v>
      </c>
      <c r="L446" t="str">
        <f>"IDPWPYENRELSSDLD"</f>
        <v>IDPWPYENRELSSDLD</v>
      </c>
      <c r="M446">
        <v>25</v>
      </c>
      <c r="N446">
        <v>250303021</v>
      </c>
      <c r="O446" t="str">
        <f>"次"</f>
        <v>次</v>
      </c>
      <c r="P446" t="str">
        <f t="shared" si="165"/>
        <v>检验费</v>
      </c>
    </row>
    <row r="447" spans="1:16">
      <c r="A447" t="str">
        <f>"钾测定"</f>
        <v>钾测定</v>
      </c>
      <c r="B447">
        <v>250304001</v>
      </c>
      <c r="C447" t="str">
        <f t="shared" si="163"/>
        <v>检验</v>
      </c>
      <c r="D447" t="str">
        <f>"002503040010000"</f>
        <v>002503040010000</v>
      </c>
      <c r="G447">
        <v>4</v>
      </c>
      <c r="I447" t="str">
        <f t="shared" si="164"/>
        <v>项</v>
      </c>
      <c r="K447" t="str">
        <f>"JCD"</f>
        <v>JCD</v>
      </c>
      <c r="L447" t="str">
        <f t="shared" ref="L447:L450" si="166">"QIP"</f>
        <v>QIP</v>
      </c>
      <c r="M447">
        <v>4</v>
      </c>
      <c r="N447">
        <v>250304001</v>
      </c>
      <c r="O447" t="str">
        <f t="shared" ref="O447:O510" si="167">"项"</f>
        <v>项</v>
      </c>
      <c r="P447" t="str">
        <f t="shared" si="165"/>
        <v>检验费</v>
      </c>
    </row>
    <row r="448" spans="1:16">
      <c r="A448" t="str">
        <f>"钠测定"</f>
        <v>钠测定</v>
      </c>
      <c r="B448">
        <v>250304002</v>
      </c>
      <c r="C448" t="str">
        <f t="shared" si="163"/>
        <v>检验</v>
      </c>
      <c r="D448" t="str">
        <f>"002503040020000"</f>
        <v>002503040020000</v>
      </c>
      <c r="G448">
        <v>4</v>
      </c>
      <c r="I448" t="str">
        <f t="shared" si="164"/>
        <v>项</v>
      </c>
      <c r="K448" t="str">
        <f>"NCD"</f>
        <v>NCD</v>
      </c>
      <c r="L448" t="str">
        <f t="shared" si="166"/>
        <v>QIP</v>
      </c>
      <c r="M448">
        <v>4</v>
      </c>
      <c r="N448">
        <v>250304002</v>
      </c>
      <c r="O448" t="str">
        <f t="shared" si="167"/>
        <v>项</v>
      </c>
      <c r="P448" t="str">
        <f t="shared" si="165"/>
        <v>检验费</v>
      </c>
    </row>
    <row r="449" spans="1:16">
      <c r="A449" t="str">
        <f>"氯测定"</f>
        <v>氯测定</v>
      </c>
      <c r="B449">
        <v>250304003</v>
      </c>
      <c r="C449" t="str">
        <f t="shared" si="163"/>
        <v>检验</v>
      </c>
      <c r="D449" t="str">
        <f>"002503040030000"</f>
        <v>002503040030000</v>
      </c>
      <c r="G449">
        <v>4</v>
      </c>
      <c r="I449" t="str">
        <f t="shared" si="164"/>
        <v>项</v>
      </c>
      <c r="K449" t="str">
        <f>"LCD"</f>
        <v>LCD</v>
      </c>
      <c r="L449" t="str">
        <f>"RIP"</f>
        <v>RIP</v>
      </c>
      <c r="M449">
        <v>4</v>
      </c>
      <c r="N449">
        <v>250304003</v>
      </c>
      <c r="O449" t="str">
        <f t="shared" si="167"/>
        <v>项</v>
      </c>
      <c r="P449" t="str">
        <f t="shared" si="165"/>
        <v>检验费</v>
      </c>
    </row>
    <row r="450" spans="1:16">
      <c r="A450" t="str">
        <f>"钙测定"</f>
        <v>钙测定</v>
      </c>
      <c r="B450">
        <v>250304004</v>
      </c>
      <c r="C450" t="str">
        <f t="shared" si="163"/>
        <v>检验</v>
      </c>
      <c r="D450" t="str">
        <f>"002503040040000"</f>
        <v>002503040040000</v>
      </c>
      <c r="G450">
        <v>4</v>
      </c>
      <c r="I450" t="str">
        <f t="shared" si="164"/>
        <v>项</v>
      </c>
      <c r="K450" t="str">
        <f>"GCD"</f>
        <v>GCD</v>
      </c>
      <c r="L450" t="str">
        <f t="shared" si="166"/>
        <v>QIP</v>
      </c>
      <c r="M450">
        <v>4</v>
      </c>
      <c r="N450">
        <v>250304004</v>
      </c>
      <c r="O450" t="str">
        <f t="shared" si="167"/>
        <v>项</v>
      </c>
      <c r="P450" t="str">
        <f t="shared" si="165"/>
        <v>检验费</v>
      </c>
    </row>
    <row r="451" spans="1:16">
      <c r="A451" t="str">
        <f>"无机磷测定"</f>
        <v>无机磷测定</v>
      </c>
      <c r="B451">
        <v>250304005</v>
      </c>
      <c r="C451" t="str">
        <f t="shared" si="163"/>
        <v>检验</v>
      </c>
      <c r="D451" t="str">
        <f>"002503040050000"</f>
        <v>002503040050000</v>
      </c>
      <c r="G451">
        <v>4</v>
      </c>
      <c r="I451" t="str">
        <f t="shared" si="164"/>
        <v>项</v>
      </c>
      <c r="K451" t="str">
        <f>"WJLCD"</f>
        <v>WJLCD</v>
      </c>
      <c r="L451" t="str">
        <f>"FSDIP"</f>
        <v>FSDIP</v>
      </c>
      <c r="M451">
        <v>4</v>
      </c>
      <c r="N451">
        <v>250304005</v>
      </c>
      <c r="O451" t="str">
        <f t="shared" si="167"/>
        <v>项</v>
      </c>
      <c r="P451" t="str">
        <f t="shared" si="165"/>
        <v>检验费</v>
      </c>
    </row>
    <row r="452" spans="1:16">
      <c r="A452" t="str">
        <f>"镁测定"</f>
        <v>镁测定</v>
      </c>
      <c r="B452">
        <v>250304006</v>
      </c>
      <c r="C452" t="str">
        <f t="shared" si="163"/>
        <v>检验</v>
      </c>
      <c r="D452" t="str">
        <f>"002503040060000"</f>
        <v>002503040060000</v>
      </c>
      <c r="G452">
        <v>3</v>
      </c>
      <c r="I452" t="str">
        <f t="shared" si="164"/>
        <v>项</v>
      </c>
      <c r="K452" t="str">
        <f>"MCD"</f>
        <v>MCD</v>
      </c>
      <c r="L452" t="str">
        <f>"QIP"</f>
        <v>QIP</v>
      </c>
      <c r="M452">
        <v>3</v>
      </c>
      <c r="N452">
        <v>250304006</v>
      </c>
      <c r="O452" t="str">
        <f t="shared" si="167"/>
        <v>项</v>
      </c>
      <c r="P452" t="str">
        <f t="shared" si="165"/>
        <v>检验费</v>
      </c>
    </row>
    <row r="453" spans="1:16">
      <c r="A453" t="str">
        <f>"微量元素测定"</f>
        <v>微量元素测定</v>
      </c>
      <c r="B453">
        <v>250304013</v>
      </c>
      <c r="C453" t="str">
        <f t="shared" si="163"/>
        <v>检验</v>
      </c>
      <c r="D453" t="str">
        <f>"002503040130000"</f>
        <v>002503040130000</v>
      </c>
      <c r="G453">
        <v>6</v>
      </c>
      <c r="I453" t="str">
        <f t="shared" si="164"/>
        <v>项</v>
      </c>
      <c r="K453" t="str">
        <f>"WLYSCD"</f>
        <v>WLYSCD</v>
      </c>
      <c r="L453" t="str">
        <f>"TJFGIP"</f>
        <v>TJFGIP</v>
      </c>
      <c r="M453">
        <v>6</v>
      </c>
      <c r="N453">
        <v>250304013</v>
      </c>
      <c r="O453" t="str">
        <f t="shared" si="167"/>
        <v>项</v>
      </c>
      <c r="P453" t="str">
        <f t="shared" si="165"/>
        <v>检验费</v>
      </c>
    </row>
    <row r="454" spans="1:16">
      <c r="A454" t="str">
        <f>"微量元素测定(铜)"</f>
        <v>微量元素测定(铜)</v>
      </c>
      <c r="B454" t="str">
        <f>"250304013-1"</f>
        <v>250304013-1</v>
      </c>
      <c r="C454" t="str">
        <f t="shared" si="163"/>
        <v>检验</v>
      </c>
      <c r="D454" t="str">
        <f>"002503040130000"</f>
        <v>002503040130000</v>
      </c>
      <c r="G454">
        <v>6</v>
      </c>
      <c r="I454" t="str">
        <f t="shared" si="164"/>
        <v>项</v>
      </c>
      <c r="K454" t="str">
        <f>"WLYSCDT"</f>
        <v>WLYSCDT</v>
      </c>
      <c r="L454" t="str">
        <f>"TJFGIPQ"</f>
        <v>TJFGIPQ</v>
      </c>
      <c r="M454">
        <v>6</v>
      </c>
      <c r="N454">
        <v>250304013</v>
      </c>
      <c r="O454" t="str">
        <f t="shared" si="167"/>
        <v>项</v>
      </c>
      <c r="P454" t="str">
        <f t="shared" si="165"/>
        <v>检验费</v>
      </c>
    </row>
    <row r="455" spans="1:16">
      <c r="A455" t="str">
        <f>"微量元素测定"</f>
        <v>微量元素测定</v>
      </c>
      <c r="B455" t="str">
        <f>"250304013-5"</f>
        <v>250304013-5</v>
      </c>
      <c r="C455" t="str">
        <f t="shared" si="163"/>
        <v>检验</v>
      </c>
      <c r="G455">
        <v>75</v>
      </c>
      <c r="I455" t="str">
        <f>"每项"</f>
        <v>每项</v>
      </c>
      <c r="K455" t="str">
        <f>"WLYSCD"</f>
        <v>WLYSCD</v>
      </c>
      <c r="L455" t="str">
        <f>"TJFGIP"</f>
        <v>TJFGIP</v>
      </c>
      <c r="M455">
        <v>75</v>
      </c>
      <c r="O455" t="str">
        <f t="shared" si="167"/>
        <v>项</v>
      </c>
      <c r="P455" t="str">
        <f t="shared" si="165"/>
        <v>检验费</v>
      </c>
    </row>
    <row r="456" spans="1:16">
      <c r="A456" t="str">
        <f>"微量元素测定（加收）"</f>
        <v>微量元素测定（加收）</v>
      </c>
      <c r="B456" t="str">
        <f>"250304013-a-1"</f>
        <v>250304013-a-1</v>
      </c>
      <c r="C456" t="str">
        <f t="shared" si="163"/>
        <v>检验</v>
      </c>
      <c r="G456">
        <v>15</v>
      </c>
      <c r="I456" t="str">
        <f>"质谱法，每增加一项加收15元，总价不超过225元"</f>
        <v>质谱法，每增加一项加收15元，总价不超过225元</v>
      </c>
      <c r="K456" t="str">
        <f>"WLYSCDJS"</f>
        <v>WLYSCDJS</v>
      </c>
      <c r="L456" t="str">
        <f>"TJFGIPLN"</f>
        <v>TJFGIPLN</v>
      </c>
      <c r="M456">
        <v>15</v>
      </c>
      <c r="O456" t="str">
        <f t="shared" si="167"/>
        <v>项</v>
      </c>
      <c r="P456" t="str">
        <f t="shared" si="165"/>
        <v>检验费</v>
      </c>
    </row>
    <row r="457" spans="1:16">
      <c r="A457" t="str">
        <f>"血清总胆红素测定"</f>
        <v>血清总胆红素测定</v>
      </c>
      <c r="B457">
        <v>250305001</v>
      </c>
      <c r="C457" t="str">
        <f t="shared" si="163"/>
        <v>检验</v>
      </c>
      <c r="D457" t="str">
        <f>"002503050010000"</f>
        <v>002503050010000</v>
      </c>
      <c r="G457">
        <v>4</v>
      </c>
      <c r="I457" t="str">
        <f t="shared" ref="I457:I465" si="168">"项"</f>
        <v>项</v>
      </c>
      <c r="K457" t="str">
        <f>"XQZDHSCD"</f>
        <v>XQZDHSCD</v>
      </c>
      <c r="L457" t="str">
        <f>"TIUEXGIP"</f>
        <v>TIUEXGIP</v>
      </c>
      <c r="M457">
        <v>4</v>
      </c>
      <c r="N457">
        <v>250305001</v>
      </c>
      <c r="O457" t="str">
        <f t="shared" si="167"/>
        <v>项</v>
      </c>
      <c r="P457" t="str">
        <f t="shared" si="165"/>
        <v>检验费</v>
      </c>
    </row>
    <row r="458" spans="1:16">
      <c r="A458" t="str">
        <f>"血清直接胆红素测定"</f>
        <v>血清直接胆红素测定</v>
      </c>
      <c r="B458">
        <v>250305002</v>
      </c>
      <c r="C458" t="str">
        <f t="shared" si="163"/>
        <v>检验</v>
      </c>
      <c r="D458" t="str">
        <f>"002503050020000"</f>
        <v>002503050020000</v>
      </c>
      <c r="G458">
        <v>4</v>
      </c>
      <c r="I458" t="str">
        <f t="shared" si="168"/>
        <v>项</v>
      </c>
      <c r="K458" t="str">
        <f>"XQZJDHSCD"</f>
        <v>XQZJDHSCD</v>
      </c>
      <c r="L458" t="str">
        <f>"TIFREXGIP"</f>
        <v>TIFREXGIP</v>
      </c>
      <c r="M458">
        <v>4</v>
      </c>
      <c r="N458">
        <v>250305002</v>
      </c>
      <c r="O458" t="str">
        <f t="shared" si="167"/>
        <v>项</v>
      </c>
      <c r="P458" t="str">
        <f t="shared" si="165"/>
        <v>检验费</v>
      </c>
    </row>
    <row r="459" spans="1:16">
      <c r="A459" t="str">
        <f>"血清总胆汁酸测定"</f>
        <v>血清总胆汁酸测定</v>
      </c>
      <c r="B459">
        <v>250305005</v>
      </c>
      <c r="C459" t="str">
        <f t="shared" si="163"/>
        <v>检验</v>
      </c>
      <c r="D459" t="str">
        <f>"002503050050000"</f>
        <v>002503050050000</v>
      </c>
      <c r="G459">
        <v>8</v>
      </c>
      <c r="I459" t="str">
        <f t="shared" si="168"/>
        <v>项</v>
      </c>
      <c r="K459" t="str">
        <f>"XQZDZSCD"</f>
        <v>XQZDZSCD</v>
      </c>
      <c r="L459" t="str">
        <f>"TIUEISIP"</f>
        <v>TIUEISIP</v>
      </c>
      <c r="M459">
        <v>8</v>
      </c>
      <c r="N459">
        <v>250305005</v>
      </c>
      <c r="O459" t="str">
        <f t="shared" si="167"/>
        <v>项</v>
      </c>
      <c r="P459" t="str">
        <f t="shared" si="165"/>
        <v>检验费</v>
      </c>
    </row>
    <row r="460" spans="1:16">
      <c r="A460" t="str">
        <f>"(ALT)血清丙氨酸氨基转移酶测定"</f>
        <v>(ALT)血清丙氨酸氨基转移酶测定</v>
      </c>
      <c r="B460" t="str">
        <f>"250305007-b"</f>
        <v>250305007-b</v>
      </c>
      <c r="C460" t="str">
        <f t="shared" si="163"/>
        <v>检验</v>
      </c>
      <c r="D460" t="str">
        <f>"002503050070000"</f>
        <v>002503050070000</v>
      </c>
      <c r="G460">
        <v>5</v>
      </c>
      <c r="I460" t="str">
        <f t="shared" si="168"/>
        <v>项</v>
      </c>
      <c r="K460" t="str">
        <f>"XQBASAJZYMCD"</f>
        <v>XQBASAJZYMCD</v>
      </c>
      <c r="L460" t="str">
        <f>"TIGRSRALTSIP"</f>
        <v>TIGRSRALTSIP</v>
      </c>
      <c r="M460">
        <v>5</v>
      </c>
      <c r="N460" t="str">
        <f>"250305007-b"</f>
        <v>250305007-b</v>
      </c>
      <c r="O460" t="str">
        <f t="shared" si="167"/>
        <v>项</v>
      </c>
      <c r="P460" t="str">
        <f t="shared" si="165"/>
        <v>检验费</v>
      </c>
    </row>
    <row r="461" spans="1:16">
      <c r="A461" t="str">
        <f>"(AST)血清天门冬氨酸氨基转移酶测定速率法"</f>
        <v>(AST)血清天门冬氨酸氨基转移酶测定速率法</v>
      </c>
      <c r="B461" t="str">
        <f>"250305008-b"</f>
        <v>250305008-b</v>
      </c>
      <c r="C461" t="str">
        <f t="shared" si="163"/>
        <v>检验</v>
      </c>
      <c r="D461" t="str">
        <f>"002503050080000"</f>
        <v>002503050080000</v>
      </c>
      <c r="G461">
        <v>5</v>
      </c>
      <c r="I461" t="str">
        <f t="shared" si="168"/>
        <v>项</v>
      </c>
      <c r="K461" t="str">
        <f>"XQTMDASAJZY"</f>
        <v>XQTMDASAJZY</v>
      </c>
      <c r="L461" t="str">
        <f>"ASTTIGUTRSRALTSI"</f>
        <v>ASTTIGUTRSRALTSI</v>
      </c>
      <c r="M461">
        <v>5</v>
      </c>
      <c r="N461" t="str">
        <f>"250305008-b"</f>
        <v>250305008-b</v>
      </c>
      <c r="O461" t="str">
        <f t="shared" si="167"/>
        <v>项</v>
      </c>
      <c r="P461" t="str">
        <f t="shared" si="165"/>
        <v>检验费</v>
      </c>
    </row>
    <row r="462" spans="1:16">
      <c r="A462" t="str">
        <f>"血清γ-谷氨酰基转移酶测定速率法"</f>
        <v>血清γ-谷氨酰基转移酶测定速率法</v>
      </c>
      <c r="B462" t="str">
        <f>"250305009-b"</f>
        <v>250305009-b</v>
      </c>
      <c r="C462" t="str">
        <f t="shared" si="163"/>
        <v>检验</v>
      </c>
      <c r="D462" t="str">
        <f>"002503050090000"</f>
        <v>002503050090000</v>
      </c>
      <c r="G462">
        <v>5</v>
      </c>
      <c r="I462" t="str">
        <f t="shared" si="168"/>
        <v>项</v>
      </c>
      <c r="K462" t="str">
        <f>"XQΓ-GAXJZYMCDSLF"</f>
        <v>XQΓ-GAXJZYMCDSLF</v>
      </c>
      <c r="L462" t="str">
        <f>"TI-WRSALTSIPGYI"</f>
        <v>TI-WRSALTSIPGYI</v>
      </c>
      <c r="M462">
        <v>5</v>
      </c>
      <c r="N462" t="str">
        <f>"250305009-b"</f>
        <v>250305009-b</v>
      </c>
      <c r="O462" t="str">
        <f t="shared" si="167"/>
        <v>项</v>
      </c>
      <c r="P462" t="str">
        <f t="shared" si="165"/>
        <v>检验费</v>
      </c>
    </row>
    <row r="463" spans="1:16">
      <c r="A463" t="str">
        <f>"血清碱性磷酸酶测定干化学法"</f>
        <v>血清碱性磷酸酶测定干化学法</v>
      </c>
      <c r="B463">
        <v>250305011</v>
      </c>
      <c r="C463" t="str">
        <f t="shared" si="163"/>
        <v>检验</v>
      </c>
      <c r="D463" t="str">
        <f t="shared" ref="D463:D465" si="169">"002503050110000"</f>
        <v>002503050110000</v>
      </c>
      <c r="G463">
        <v>12</v>
      </c>
      <c r="I463" t="str">
        <f t="shared" si="168"/>
        <v>项</v>
      </c>
      <c r="K463" t="str">
        <f>"XQJXLSMCDGHXF"</f>
        <v>XQJXLSMCDGHXF</v>
      </c>
      <c r="L463" t="str">
        <f>"TIDNDSSIPFWII"</f>
        <v>TIDNDSSIPFWII</v>
      </c>
      <c r="M463">
        <v>12</v>
      </c>
      <c r="N463">
        <v>250305011</v>
      </c>
      <c r="O463" t="str">
        <f t="shared" si="167"/>
        <v>项</v>
      </c>
      <c r="P463" t="str">
        <f t="shared" si="165"/>
        <v>检验费</v>
      </c>
    </row>
    <row r="464" spans="1:16">
      <c r="A464" t="str">
        <f>"血清碱性磷酸酶测定手工法"</f>
        <v>血清碱性磷酸酶测定手工法</v>
      </c>
      <c r="B464" t="str">
        <f>"250305011-a"</f>
        <v>250305011-a</v>
      </c>
      <c r="C464" t="str">
        <f t="shared" si="163"/>
        <v>检验</v>
      </c>
      <c r="D464" t="str">
        <f t="shared" si="169"/>
        <v>002503050110000</v>
      </c>
      <c r="G464">
        <v>3</v>
      </c>
      <c r="I464" t="str">
        <f t="shared" si="168"/>
        <v>项</v>
      </c>
      <c r="K464" t="str">
        <f>"XQJXLSMCDSGF"</f>
        <v>XQJXLSMCDSGF</v>
      </c>
      <c r="L464" t="str">
        <f>"TIDNDSSIPRAI"</f>
        <v>TIDNDSSIPRAI</v>
      </c>
      <c r="M464">
        <v>3</v>
      </c>
      <c r="N464" t="str">
        <f>"250305011-a"</f>
        <v>250305011-a</v>
      </c>
      <c r="O464" t="str">
        <f t="shared" si="167"/>
        <v>项</v>
      </c>
      <c r="P464" t="str">
        <f t="shared" si="165"/>
        <v>检验费</v>
      </c>
    </row>
    <row r="465" spans="1:16">
      <c r="A465" t="str">
        <f>"血清碱性磷酸酶测定速率法(ALP)"</f>
        <v>血清碱性磷酸酶测定速率法(ALP)</v>
      </c>
      <c r="B465" t="str">
        <f>"250305011-b"</f>
        <v>250305011-b</v>
      </c>
      <c r="C465" t="str">
        <f t="shared" si="163"/>
        <v>检验</v>
      </c>
      <c r="D465" t="str">
        <f t="shared" si="169"/>
        <v>002503050110000</v>
      </c>
      <c r="G465">
        <v>5</v>
      </c>
      <c r="I465" t="str">
        <f t="shared" si="168"/>
        <v>项</v>
      </c>
      <c r="K465" t="str">
        <f>"XQJXLSMCDSLFALP"</f>
        <v>XQJXLSMCDSLFALP</v>
      </c>
      <c r="L465" t="str">
        <f>"TIDNDSSIPGYIALP"</f>
        <v>TIDNDSSIPGYIALP</v>
      </c>
      <c r="M465">
        <v>5</v>
      </c>
      <c r="N465" t="str">
        <f>"250305011-b"</f>
        <v>250305011-b</v>
      </c>
      <c r="O465" t="str">
        <f t="shared" si="167"/>
        <v>项</v>
      </c>
      <c r="P465" t="str">
        <f t="shared" si="165"/>
        <v>检验费</v>
      </c>
    </row>
    <row r="466" spans="1:16">
      <c r="A466" t="str">
        <f>"血清胆碱脂酶测定（速率法）"</f>
        <v>血清胆碱脂酶测定（速率法）</v>
      </c>
      <c r="B466">
        <v>250305014</v>
      </c>
      <c r="C466" t="str">
        <f t="shared" si="163"/>
        <v>检验</v>
      </c>
      <c r="G466">
        <v>5</v>
      </c>
      <c r="I466" t="str">
        <f t="shared" ref="I466:I468" si="170">"-"</f>
        <v>-</v>
      </c>
      <c r="K466" t="str">
        <f>"XQDJZMCDSLF"</f>
        <v>XQDJZMCDSLF</v>
      </c>
      <c r="L466" t="str">
        <f>"TIEDESIPGYI"</f>
        <v>TIEDESIPGYI</v>
      </c>
      <c r="M466">
        <v>5</v>
      </c>
      <c r="N466">
        <v>250305014</v>
      </c>
      <c r="O466" t="str">
        <f t="shared" si="167"/>
        <v>项</v>
      </c>
      <c r="P466" t="str">
        <f t="shared" si="165"/>
        <v>检验费</v>
      </c>
    </row>
    <row r="467" spans="1:16">
      <c r="A467" t="str">
        <f>"血清肌酸激酶测定（速率法）"</f>
        <v>血清肌酸激酶测定（速率法）</v>
      </c>
      <c r="B467" t="str">
        <f>"250306001-a"</f>
        <v>250306001-a</v>
      </c>
      <c r="C467" t="str">
        <f t="shared" si="163"/>
        <v>检验</v>
      </c>
      <c r="D467" t="str">
        <f>"002503060010000"</f>
        <v>002503060010000</v>
      </c>
      <c r="G467">
        <v>5</v>
      </c>
      <c r="I467" t="str">
        <f t="shared" si="170"/>
        <v>-</v>
      </c>
      <c r="K467" t="str">
        <f>"XQJSJMCDSLF"</f>
        <v>XQJSJMCDSLF</v>
      </c>
      <c r="L467" t="str">
        <f>"TIESISIPGYI"</f>
        <v>TIESISIPGYI</v>
      </c>
      <c r="M467">
        <v>5</v>
      </c>
      <c r="N467" t="str">
        <f>"250306001-a"</f>
        <v>250306001-a</v>
      </c>
      <c r="O467" t="str">
        <f t="shared" si="167"/>
        <v>项</v>
      </c>
      <c r="P467" t="str">
        <f t="shared" si="165"/>
        <v>检验费</v>
      </c>
    </row>
    <row r="468" spans="1:16">
      <c r="A468" t="str">
        <f>"血清肌酸激酶-MB同工酶活性测定（速率法）"</f>
        <v>血清肌酸激酶-MB同工酶活性测定（速率法）</v>
      </c>
      <c r="B468" t="str">
        <f>"250306002-b"</f>
        <v>250306002-b</v>
      </c>
      <c r="C468" t="str">
        <f t="shared" si="163"/>
        <v>检验</v>
      </c>
      <c r="D468" t="str">
        <f>"002503060020000"</f>
        <v>002503060020000</v>
      </c>
      <c r="G468">
        <v>5</v>
      </c>
      <c r="I468" t="str">
        <f t="shared" si="170"/>
        <v>-</v>
      </c>
      <c r="K468" t="str">
        <f>"XQJSJM-MBTGMHXCDSLF"</f>
        <v>XQJSJM-MBTGMHXCDSLF</v>
      </c>
      <c r="L468" t="str">
        <f>"TIESIS-MBMASINIPGYI"</f>
        <v>TIESIS-MBMASINIPGYI</v>
      </c>
      <c r="M468">
        <v>5</v>
      </c>
      <c r="N468" t="str">
        <f>"250306002-b"</f>
        <v>250306002-b</v>
      </c>
      <c r="O468" t="str">
        <f t="shared" si="167"/>
        <v>项</v>
      </c>
      <c r="P468" t="str">
        <f t="shared" si="165"/>
        <v>检验费</v>
      </c>
    </row>
    <row r="469" spans="1:16">
      <c r="A469" t="str">
        <f>"血清肌酸激酶－MB同工酶质量测定"</f>
        <v>血清肌酸激酶－MB同工酶质量测定</v>
      </c>
      <c r="B469" t="str">
        <f>"250306003-b"</f>
        <v>250306003-b</v>
      </c>
      <c r="C469" t="str">
        <f t="shared" si="163"/>
        <v>检验</v>
      </c>
      <c r="D469" t="str">
        <f>"002503060030000"</f>
        <v>002503060030000</v>
      </c>
      <c r="G469">
        <v>60</v>
      </c>
      <c r="I469" t="str">
        <f t="shared" ref="I469:I480" si="171">"项"</f>
        <v>项</v>
      </c>
      <c r="K469" t="str">
        <f>"XQJSJMZMBTGMZLCD"</f>
        <v>XQJSJMZMBTGMZLCD</v>
      </c>
      <c r="L469" t="str">
        <f>"TIESISmbMASRJIP"</f>
        <v>TIESISmbMASRJIP</v>
      </c>
      <c r="M469">
        <v>70</v>
      </c>
      <c r="N469" t="str">
        <f>"250306003-b"</f>
        <v>250306003-b</v>
      </c>
      <c r="O469" t="str">
        <f t="shared" si="167"/>
        <v>项</v>
      </c>
      <c r="P469" t="str">
        <f t="shared" si="165"/>
        <v>检验费</v>
      </c>
    </row>
    <row r="470" spans="1:16">
      <c r="A470" t="str">
        <f>"(LDH)乳酸脱氢酶测定"</f>
        <v>(LDH)乳酸脱氢酶测定</v>
      </c>
      <c r="B470" t="str">
        <f>"250306005-a"</f>
        <v>250306005-a</v>
      </c>
      <c r="C470" t="str">
        <f t="shared" si="163"/>
        <v>检验</v>
      </c>
      <c r="D470" t="str">
        <f>"002503060050000"</f>
        <v>002503060050000</v>
      </c>
      <c r="G470">
        <v>5</v>
      </c>
      <c r="I470" t="str">
        <f t="shared" si="171"/>
        <v>项</v>
      </c>
      <c r="K470" t="str">
        <f>"RSTQMCD"</f>
        <v>RSTQMCD</v>
      </c>
      <c r="L470" t="str">
        <f>"ESERSIP"</f>
        <v>ESERSIP</v>
      </c>
      <c r="M470">
        <v>5</v>
      </c>
      <c r="N470" t="str">
        <f>"250306005-a"</f>
        <v>250306005-a</v>
      </c>
      <c r="O470" t="str">
        <f t="shared" si="167"/>
        <v>项</v>
      </c>
      <c r="P470" t="str">
        <f t="shared" si="165"/>
        <v>检验费</v>
      </c>
    </row>
    <row r="471" spans="1:16">
      <c r="A471" t="str">
        <f>"血清α羟基丁酸脱氢酶测定速率法"</f>
        <v>血清α羟基丁酸脱氢酶测定速率法</v>
      </c>
      <c r="B471">
        <v>250306007</v>
      </c>
      <c r="C471" t="str">
        <f t="shared" si="163"/>
        <v>检验</v>
      </c>
      <c r="D471" t="str">
        <f>"002503060070000"</f>
        <v>002503060070000</v>
      </c>
      <c r="G471">
        <v>10</v>
      </c>
      <c r="I471" t="str">
        <f t="shared" si="171"/>
        <v>项</v>
      </c>
      <c r="K471" t="str">
        <f>"XQΑQJDSTQMCDSLF"</f>
        <v>XQΑQJDSTQMCDSLF</v>
      </c>
      <c r="L471" t="str">
        <f>"TIUASSERSIPGYI"</f>
        <v>TIUASSERSIPGYI</v>
      </c>
      <c r="M471">
        <v>10</v>
      </c>
      <c r="N471">
        <v>250306007</v>
      </c>
      <c r="O471" t="str">
        <f t="shared" si="167"/>
        <v>项</v>
      </c>
      <c r="P471" t="str">
        <f t="shared" si="165"/>
        <v>检验费</v>
      </c>
    </row>
    <row r="472" spans="1:16">
      <c r="A472" t="str">
        <f>"血清肌钙蛋白T测定化学发光法"</f>
        <v>血清肌钙蛋白T测定化学发光法</v>
      </c>
      <c r="B472" t="str">
        <f>"250306008-a"</f>
        <v>250306008-a</v>
      </c>
      <c r="C472" t="str">
        <f t="shared" si="163"/>
        <v>检验</v>
      </c>
      <c r="D472" t="str">
        <f>"002503060080000"</f>
        <v>002503060080000</v>
      </c>
      <c r="G472">
        <v>70</v>
      </c>
      <c r="I472" t="str">
        <f t="shared" si="171"/>
        <v>项</v>
      </c>
      <c r="K472" t="str">
        <f>"XQJGDBTCDHXFGF"</f>
        <v>XQJGDBTCDHXFGF</v>
      </c>
      <c r="L472" t="str">
        <f>"TIEQNRtIPWINII"</f>
        <v>TIEQNRtIPWINII</v>
      </c>
      <c r="M472">
        <v>70</v>
      </c>
      <c r="N472" t="str">
        <f>"250306008-a"</f>
        <v>250306008-a</v>
      </c>
      <c r="O472" t="str">
        <f t="shared" si="167"/>
        <v>项</v>
      </c>
      <c r="P472" t="str">
        <f t="shared" si="165"/>
        <v>检验费</v>
      </c>
    </row>
    <row r="473" spans="1:16">
      <c r="A473" t="str">
        <f>"血清肌钙蛋白Ⅰ测定荧光免疫法"</f>
        <v>血清肌钙蛋白Ⅰ测定荧光免疫法</v>
      </c>
      <c r="B473" t="str">
        <f>"250306009-c"</f>
        <v>250306009-c</v>
      </c>
      <c r="C473" t="str">
        <f t="shared" si="163"/>
        <v>检验</v>
      </c>
      <c r="D473" t="str">
        <f>"002503060090000"</f>
        <v>002503060090000</v>
      </c>
      <c r="G473">
        <v>70</v>
      </c>
      <c r="I473" t="str">
        <f t="shared" si="171"/>
        <v>项</v>
      </c>
      <c r="K473" t="str">
        <f>"XQJGDBⅠCDYGMYF"</f>
        <v>XQJGDBⅠCDYGMYF</v>
      </c>
      <c r="L473" t="str">
        <f>"TIEQNRIPAIQUI"</f>
        <v>TIEQNRIPAIQUI</v>
      </c>
      <c r="M473">
        <v>70</v>
      </c>
      <c r="N473" t="str">
        <f>"250306009-c"</f>
        <v>250306009-c</v>
      </c>
      <c r="O473" t="str">
        <f t="shared" si="167"/>
        <v>项</v>
      </c>
      <c r="P473" t="str">
        <f t="shared" si="165"/>
        <v>检验费</v>
      </c>
    </row>
    <row r="474" spans="1:16">
      <c r="A474" t="str">
        <f>"血清肌红蛋白测定荧光免疫法"</f>
        <v>血清肌红蛋白测定荧光免疫法</v>
      </c>
      <c r="B474" t="str">
        <f>"250306010-c"</f>
        <v>250306010-c</v>
      </c>
      <c r="C474" t="str">
        <f t="shared" si="163"/>
        <v>检验</v>
      </c>
      <c r="D474" t="str">
        <f>"002503060100000"</f>
        <v>002503060100000</v>
      </c>
      <c r="G474">
        <v>60</v>
      </c>
      <c r="I474" t="str">
        <f t="shared" si="171"/>
        <v>项</v>
      </c>
      <c r="K474" t="str">
        <f>"XQJHDBCDYGMYF"</f>
        <v>XQJHDBCDYGMYF</v>
      </c>
      <c r="L474" t="str">
        <f>"TIEXNRIPAIQUI"</f>
        <v>TIEXNRIPAIQUI</v>
      </c>
      <c r="M474">
        <v>70</v>
      </c>
      <c r="N474" t="str">
        <f>"250306010-c"</f>
        <v>250306010-c</v>
      </c>
      <c r="O474" t="str">
        <f t="shared" si="167"/>
        <v>项</v>
      </c>
      <c r="P474" t="str">
        <f t="shared" si="165"/>
        <v>检验费</v>
      </c>
    </row>
    <row r="475" spans="1:16">
      <c r="A475" t="str">
        <f>"血同型半胱氨酸测定"</f>
        <v>血同型半胱氨酸测定</v>
      </c>
      <c r="B475" t="str">
        <f>"250306011-b-1"</f>
        <v>250306011-b-1</v>
      </c>
      <c r="C475" t="str">
        <f t="shared" si="163"/>
        <v>检验</v>
      </c>
      <c r="D475" t="str">
        <f>"002503060110000"</f>
        <v>002503060110000</v>
      </c>
      <c r="G475">
        <v>60</v>
      </c>
      <c r="I475" t="str">
        <f t="shared" si="171"/>
        <v>项</v>
      </c>
      <c r="K475" t="str">
        <f>"XTXBASCD"</f>
        <v>XTXBASCD</v>
      </c>
      <c r="L475" t="str">
        <f>"TMGUERSIP"</f>
        <v>TMGUERSIP</v>
      </c>
      <c r="M475">
        <v>100</v>
      </c>
      <c r="N475" t="str">
        <f>"250306011-b"</f>
        <v>250306011-b</v>
      </c>
      <c r="O475" t="str">
        <f t="shared" si="167"/>
        <v>项</v>
      </c>
      <c r="P475" t="str">
        <f t="shared" si="165"/>
        <v>检验费</v>
      </c>
    </row>
    <row r="476" spans="1:16">
      <c r="A476" t="str">
        <f>"N端-前脑钠肽（NT-PROBNP）测定"</f>
        <v>N端-前脑钠肽（NT-PROBNP）测定</v>
      </c>
      <c r="B476" t="str">
        <f>"250306013-a"</f>
        <v>250306013-a</v>
      </c>
      <c r="C476" t="str">
        <f t="shared" si="163"/>
        <v>检验</v>
      </c>
      <c r="D476" t="str">
        <f>"002503060130000"</f>
        <v>002503060130000</v>
      </c>
      <c r="G476">
        <v>150</v>
      </c>
      <c r="I476" t="str">
        <f t="shared" si="171"/>
        <v>项</v>
      </c>
      <c r="K476" t="str">
        <f>"ND-QNNTZNT-PROBNPZCD"</f>
        <v>ND-QNNTZNT-PROBNPZCD</v>
      </c>
      <c r="L476" t="str">
        <f>"nU-UEQEnt-probnpIP"</f>
        <v>nU-UEQEnt-probnpIP</v>
      </c>
      <c r="M476">
        <v>200</v>
      </c>
      <c r="N476" t="str">
        <f>"250306013-a"</f>
        <v>250306013-a</v>
      </c>
      <c r="O476" t="str">
        <f t="shared" si="167"/>
        <v>项</v>
      </c>
      <c r="P476" t="str">
        <f t="shared" si="165"/>
        <v>检验费</v>
      </c>
    </row>
    <row r="477" spans="1:16">
      <c r="A477" t="str">
        <f>"尿素测定"</f>
        <v>尿素测定</v>
      </c>
      <c r="B477">
        <v>250307001</v>
      </c>
      <c r="C477" t="str">
        <f t="shared" si="163"/>
        <v>检验</v>
      </c>
      <c r="D477" t="str">
        <f>"002503070010000"</f>
        <v>002503070010000</v>
      </c>
      <c r="G477">
        <v>4</v>
      </c>
      <c r="I477" t="str">
        <f t="shared" si="171"/>
        <v>项</v>
      </c>
      <c r="K477" t="str">
        <f>"NSCD"</f>
        <v>NSCD</v>
      </c>
      <c r="L477" t="str">
        <f>"NGIP"</f>
        <v>NGIP</v>
      </c>
      <c r="M477">
        <v>4</v>
      </c>
      <c r="N477">
        <v>250307001</v>
      </c>
      <c r="O477" t="str">
        <f t="shared" si="167"/>
        <v>项</v>
      </c>
      <c r="P477" t="str">
        <f t="shared" si="165"/>
        <v>检验费</v>
      </c>
    </row>
    <row r="478" spans="1:16">
      <c r="A478" t="str">
        <f>"肌酐测定"</f>
        <v>肌酐测定</v>
      </c>
      <c r="B478">
        <v>250307002</v>
      </c>
      <c r="C478" t="str">
        <f t="shared" si="163"/>
        <v>检验</v>
      </c>
      <c r="D478" t="str">
        <f>"002503070020000"</f>
        <v>002503070020000</v>
      </c>
      <c r="G478">
        <v>4</v>
      </c>
      <c r="I478" t="str">
        <f t="shared" si="171"/>
        <v>项</v>
      </c>
      <c r="K478" t="str">
        <f>"JGCD"</f>
        <v>JGCD</v>
      </c>
      <c r="L478" t="str">
        <f>"ESIP"</f>
        <v>ESIP</v>
      </c>
      <c r="M478">
        <v>4</v>
      </c>
      <c r="N478">
        <v>250307002</v>
      </c>
      <c r="O478" t="str">
        <f t="shared" si="167"/>
        <v>项</v>
      </c>
      <c r="P478" t="str">
        <f t="shared" si="165"/>
        <v>检验费</v>
      </c>
    </row>
    <row r="479" spans="1:16">
      <c r="A479" t="str">
        <f>"血清尿酸测定"</f>
        <v>血清尿酸测定</v>
      </c>
      <c r="B479">
        <v>250307005</v>
      </c>
      <c r="C479" t="str">
        <f t="shared" si="163"/>
        <v>检验</v>
      </c>
      <c r="D479" t="str">
        <f>"002503070050000"</f>
        <v>002503070050000</v>
      </c>
      <c r="G479">
        <v>3</v>
      </c>
      <c r="I479" t="str">
        <f t="shared" si="171"/>
        <v>项</v>
      </c>
      <c r="K479" t="str">
        <f>"XQNSCD"</f>
        <v>XQNSCD</v>
      </c>
      <c r="L479" t="str">
        <f>"TINSIP"</f>
        <v>TINSIP</v>
      </c>
      <c r="M479">
        <v>3</v>
      </c>
      <c r="N479">
        <v>250307005</v>
      </c>
      <c r="O479" t="str">
        <f t="shared" si="167"/>
        <v>项</v>
      </c>
      <c r="P479" t="str">
        <f t="shared" si="165"/>
        <v>检验费</v>
      </c>
    </row>
    <row r="480" spans="1:16">
      <c r="A480" t="str">
        <f>"尿微量白蛋白测定散射比浊法"</f>
        <v>尿微量白蛋白测定散射比浊法</v>
      </c>
      <c r="B480" t="str">
        <f>"250307006-b"</f>
        <v>250307006-b</v>
      </c>
      <c r="C480" t="str">
        <f t="shared" si="163"/>
        <v>检验</v>
      </c>
      <c r="D480" t="str">
        <f>"002503070060000"</f>
        <v>002503070060000</v>
      </c>
      <c r="G480">
        <v>35</v>
      </c>
      <c r="I480" t="str">
        <f t="shared" si="171"/>
        <v>项</v>
      </c>
      <c r="K480" t="str">
        <f>"NWLBDBCDSSBZF"</f>
        <v>NWLBDBCDSSBZF</v>
      </c>
      <c r="L480" t="str">
        <f>"NTJRNRIPATXLI"</f>
        <v>NTJRNRIPATXLI</v>
      </c>
      <c r="M480">
        <v>35</v>
      </c>
      <c r="N480" t="str">
        <f>"250307006-b"</f>
        <v>250307006-b</v>
      </c>
      <c r="O480" t="str">
        <f t="shared" si="167"/>
        <v>项</v>
      </c>
      <c r="P480" t="str">
        <f t="shared" si="165"/>
        <v>检验费</v>
      </c>
    </row>
    <row r="481" spans="1:16">
      <c r="A481" t="str">
        <f>"β2微球蛋白测定（化学发光法）"</f>
        <v>β2微球蛋白测定（化学发光法）</v>
      </c>
      <c r="B481" t="str">
        <f>"250307009-a"</f>
        <v>250307009-a</v>
      </c>
      <c r="C481" t="str">
        <f t="shared" si="163"/>
        <v>检验</v>
      </c>
      <c r="D481" t="str">
        <f>"002503010140000"</f>
        <v>002503010140000</v>
      </c>
      <c r="G481">
        <v>45</v>
      </c>
      <c r="I481">
        <v>1</v>
      </c>
      <c r="K481" t="str">
        <f>"Β2WQDBCD（HXFGF）"</f>
        <v>Β2WQDBCD（HXFGF）</v>
      </c>
      <c r="L481" t="str">
        <f>"2TGNRIPWINII"</f>
        <v>2TGNRIPWINII</v>
      </c>
      <c r="M481">
        <v>45</v>
      </c>
      <c r="N481" t="str">
        <f>"250307009-a"</f>
        <v>250307009-a</v>
      </c>
      <c r="O481" t="str">
        <f t="shared" si="167"/>
        <v>项</v>
      </c>
      <c r="P481" t="str">
        <f t="shared" si="165"/>
        <v>检验费</v>
      </c>
    </row>
    <row r="482" spans="1:16">
      <c r="A482" t="str">
        <f>"超氧化物岐化酶测定"</f>
        <v>超氧化物岐化酶测定</v>
      </c>
      <c r="B482">
        <v>250307027</v>
      </c>
      <c r="C482" t="str">
        <f t="shared" si="163"/>
        <v>检验</v>
      </c>
      <c r="D482" t="str">
        <f>"002503070270000"</f>
        <v>002503070270000</v>
      </c>
      <c r="G482">
        <v>20</v>
      </c>
      <c r="I482">
        <v>1</v>
      </c>
      <c r="K482" t="str">
        <f>"CYHWQHMCD"</f>
        <v>CYHWQHMCD</v>
      </c>
      <c r="L482" t="str">
        <f>"FRWTMWSIP"</f>
        <v>FRWTMWSIP</v>
      </c>
      <c r="M482">
        <v>20</v>
      </c>
      <c r="N482">
        <v>250307027</v>
      </c>
      <c r="O482" t="str">
        <f t="shared" si="167"/>
        <v>项</v>
      </c>
      <c r="P482" t="str">
        <f t="shared" si="165"/>
        <v>检验费</v>
      </c>
    </row>
    <row r="483" spans="1:16">
      <c r="A483" t="str">
        <f>"血清胱抑素(CystatinC)测定"</f>
        <v>血清胱抑素(CystatinC)测定</v>
      </c>
      <c r="B483">
        <v>250307028</v>
      </c>
      <c r="C483" t="str">
        <f t="shared" si="163"/>
        <v>检验</v>
      </c>
      <c r="D483" t="str">
        <f>"002503070280000"</f>
        <v>002503070280000</v>
      </c>
      <c r="G483">
        <v>15</v>
      </c>
      <c r="I483" t="str">
        <f>"-"</f>
        <v>-</v>
      </c>
      <c r="K483" t="str">
        <f>"XQGYSCYSTATINCCD"</f>
        <v>XQGYSCYSTATINCCD</v>
      </c>
      <c r="L483" t="str">
        <f>"TIERGCYSTATINCIP"</f>
        <v>TIERGCYSTATINCIP</v>
      </c>
      <c r="M483">
        <v>15</v>
      </c>
      <c r="N483">
        <v>250307028</v>
      </c>
      <c r="O483" t="str">
        <f t="shared" si="167"/>
        <v>项</v>
      </c>
      <c r="P483" t="str">
        <f t="shared" si="165"/>
        <v>检验费</v>
      </c>
    </row>
    <row r="484" spans="1:16">
      <c r="A484" t="str">
        <f>"淀粉酶测定"</f>
        <v>淀粉酶测定</v>
      </c>
      <c r="B484">
        <v>250308004</v>
      </c>
      <c r="C484" t="str">
        <f t="shared" si="163"/>
        <v>检验</v>
      </c>
      <c r="D484" t="str">
        <f>"002503080040000"</f>
        <v>002503080040000</v>
      </c>
      <c r="G484">
        <v>6</v>
      </c>
      <c r="I484" t="str">
        <f t="shared" ref="I484:I503" si="172">"项"</f>
        <v>项</v>
      </c>
      <c r="K484" t="str">
        <f>"DFMCD"</f>
        <v>DFMCD</v>
      </c>
      <c r="L484" t="str">
        <f>"IOSIP"</f>
        <v>IOSIP</v>
      </c>
      <c r="M484">
        <v>6</v>
      </c>
      <c r="N484">
        <v>250308004</v>
      </c>
      <c r="O484" t="str">
        <f t="shared" si="167"/>
        <v>项</v>
      </c>
      <c r="P484" t="str">
        <f t="shared" si="165"/>
        <v>检验费</v>
      </c>
    </row>
    <row r="485" spans="1:16">
      <c r="A485" t="str">
        <f>"尿淀粉酶测定（比色法、速率法）"</f>
        <v>尿淀粉酶测定（比色法、速率法）</v>
      </c>
      <c r="B485" t="str">
        <f>"250308004-1"</f>
        <v>250308004-1</v>
      </c>
      <c r="C485" t="str">
        <f t="shared" si="163"/>
        <v>检验</v>
      </c>
      <c r="D485" t="str">
        <f>"002503080040000"</f>
        <v>002503080040000</v>
      </c>
      <c r="G485">
        <v>6</v>
      </c>
      <c r="I485">
        <v>1</v>
      </c>
      <c r="K485" t="str">
        <f>"NDFMCDBSFSLF"</f>
        <v>NDFMCDBSFSLF</v>
      </c>
      <c r="L485" t="str">
        <f>"NIOSIPXQIGYI"</f>
        <v>NIOSIPXQIGYI</v>
      </c>
      <c r="M485">
        <v>6</v>
      </c>
      <c r="N485">
        <v>250308004</v>
      </c>
      <c r="O485" t="str">
        <f t="shared" si="167"/>
        <v>项</v>
      </c>
      <c r="P485" t="str">
        <f t="shared" si="165"/>
        <v>检验费</v>
      </c>
    </row>
    <row r="486" spans="1:16">
      <c r="A486" t="str">
        <f>"25羟维生素D测定"</f>
        <v>25羟维生素D测定</v>
      </c>
      <c r="B486" t="str">
        <f>"250309001-c"</f>
        <v>250309001-c</v>
      </c>
      <c r="C486" t="str">
        <f t="shared" si="163"/>
        <v>检验</v>
      </c>
      <c r="D486" t="str">
        <f>"002503090010000"</f>
        <v>002503090010000</v>
      </c>
      <c r="G486">
        <v>110</v>
      </c>
      <c r="I486" t="str">
        <f>"-"</f>
        <v>-</v>
      </c>
      <c r="K486" t="str">
        <f>"25WSSDCD"</f>
        <v>25WSSDCD</v>
      </c>
      <c r="L486" t="str">
        <f>"25UXTGDIP"</f>
        <v>25UXTGDIP</v>
      </c>
      <c r="M486">
        <v>110</v>
      </c>
      <c r="N486" t="str">
        <f>"250309001-c"</f>
        <v>250309001-c</v>
      </c>
      <c r="O486" t="str">
        <f t="shared" si="167"/>
        <v>项</v>
      </c>
      <c r="P486" t="str">
        <f t="shared" si="165"/>
        <v>检验费</v>
      </c>
    </row>
    <row r="487" spans="1:16">
      <c r="A487" t="str">
        <f>"叶酸测定化学发光法"</f>
        <v>叶酸测定化学发光法</v>
      </c>
      <c r="B487" t="str">
        <f>"250309003-a"</f>
        <v>250309003-a</v>
      </c>
      <c r="C487" t="str">
        <f t="shared" si="163"/>
        <v>检验</v>
      </c>
      <c r="G487">
        <v>40</v>
      </c>
      <c r="I487" t="str">
        <f t="shared" si="172"/>
        <v>项</v>
      </c>
      <c r="K487" t="str">
        <f>"YSCDHXFGF"</f>
        <v>YSCDHXFGF</v>
      </c>
      <c r="L487" t="str">
        <f>"KSIPWINII"</f>
        <v>KSIPWINII</v>
      </c>
      <c r="M487">
        <v>40</v>
      </c>
      <c r="N487" t="str">
        <f>"250309003-a"</f>
        <v>250309003-a</v>
      </c>
      <c r="O487" t="str">
        <f t="shared" si="167"/>
        <v>项</v>
      </c>
      <c r="P487" t="str">
        <f t="shared" si="165"/>
        <v>检验费</v>
      </c>
    </row>
    <row r="488" spans="1:16">
      <c r="A488" t="str">
        <f>"维生素测定"</f>
        <v>维生素测定</v>
      </c>
      <c r="B488" t="str">
        <f>"250309004-b"</f>
        <v>250309004-b</v>
      </c>
      <c r="C488" t="str">
        <f t="shared" si="163"/>
        <v>检验</v>
      </c>
      <c r="G488">
        <v>100</v>
      </c>
      <c r="I488" t="str">
        <f t="shared" si="172"/>
        <v>项</v>
      </c>
      <c r="K488" t="str">
        <f>"WSSCD"</f>
        <v>WSSCD</v>
      </c>
      <c r="L488" t="str">
        <f>"XTGIP"</f>
        <v>XTGIP</v>
      </c>
      <c r="M488">
        <v>100</v>
      </c>
      <c r="O488" t="str">
        <f t="shared" si="167"/>
        <v>项</v>
      </c>
      <c r="P488" t="str">
        <f t="shared" si="165"/>
        <v>检验费</v>
      </c>
    </row>
    <row r="489" spans="1:16">
      <c r="A489" t="str">
        <f>"维生素测定（加项）"</f>
        <v>维生素测定（加项）</v>
      </c>
      <c r="B489" t="str">
        <f>"250309004-b-2"</f>
        <v>250309004-b-2</v>
      </c>
      <c r="C489" t="str">
        <f t="shared" si="163"/>
        <v>检验</v>
      </c>
      <c r="G489">
        <v>30</v>
      </c>
      <c r="I489" t="str">
        <f t="shared" si="172"/>
        <v>项</v>
      </c>
      <c r="K489" t="str">
        <f>"WSSCDJX"</f>
        <v>WSSCDJX</v>
      </c>
      <c r="L489" t="str">
        <f>"XTGIPLA"</f>
        <v>XTGIPLA</v>
      </c>
      <c r="M489">
        <v>30</v>
      </c>
      <c r="O489" t="str">
        <f t="shared" si="167"/>
        <v>项</v>
      </c>
      <c r="P489" t="str">
        <f t="shared" si="165"/>
        <v>检验费</v>
      </c>
    </row>
    <row r="490" spans="1:16">
      <c r="A490" t="str">
        <f>"(TSH)血清促甲状腺激素测定"</f>
        <v>(TSH)血清促甲状腺激素测定</v>
      </c>
      <c r="B490" t="str">
        <f>"250310001-a"</f>
        <v>250310001-a</v>
      </c>
      <c r="C490" t="str">
        <f t="shared" si="163"/>
        <v>检验</v>
      </c>
      <c r="D490" t="str">
        <f>"002503100010000"</f>
        <v>002503100010000</v>
      </c>
      <c r="G490">
        <v>40</v>
      </c>
      <c r="I490" t="str">
        <f t="shared" si="172"/>
        <v>项</v>
      </c>
      <c r="K490" t="str">
        <f>"XQCJZXJSCD"</f>
        <v>XQCJZXJSCD</v>
      </c>
      <c r="L490" t="str">
        <f>"TIWLUEIGIP"</f>
        <v>TIWLUEIGIP</v>
      </c>
      <c r="M490">
        <v>40</v>
      </c>
      <c r="N490" t="str">
        <f>"250310001-a"</f>
        <v>250310001-a</v>
      </c>
      <c r="O490" t="str">
        <f t="shared" si="167"/>
        <v>项</v>
      </c>
      <c r="P490" t="str">
        <f t="shared" si="165"/>
        <v>检验费</v>
      </c>
    </row>
    <row r="491" spans="1:16">
      <c r="A491" t="str">
        <f>"血清泌乳素测定各种免疫学方法"</f>
        <v>血清泌乳素测定各种免疫学方法</v>
      </c>
      <c r="B491">
        <v>250310002</v>
      </c>
      <c r="C491" t="str">
        <f t="shared" si="163"/>
        <v>检验</v>
      </c>
      <c r="D491" t="str">
        <f>"002503100020000"</f>
        <v>002503100020000</v>
      </c>
      <c r="G491">
        <v>20</v>
      </c>
      <c r="I491" t="str">
        <f t="shared" si="172"/>
        <v>项</v>
      </c>
      <c r="K491" t="str">
        <f>"XQMRSCDGZMYXFF"</f>
        <v>XQMRSCDGZMYXFF</v>
      </c>
      <c r="L491" t="str">
        <f>"TIIEGIPTTQUIYI"</f>
        <v>TIIEGIPTTQUIYI</v>
      </c>
      <c r="M491">
        <v>20</v>
      </c>
      <c r="N491">
        <v>250310002</v>
      </c>
      <c r="O491" t="str">
        <f t="shared" si="167"/>
        <v>项</v>
      </c>
      <c r="P491" t="str">
        <f t="shared" si="165"/>
        <v>检验费</v>
      </c>
    </row>
    <row r="492" spans="1:16">
      <c r="A492" t="str">
        <f>"(PRL)血清泌乳素测定"</f>
        <v>(PRL)血清泌乳素测定</v>
      </c>
      <c r="B492" t="str">
        <f>"250310002-a"</f>
        <v>250310002-a</v>
      </c>
      <c r="C492" t="str">
        <f t="shared" si="163"/>
        <v>检验</v>
      </c>
      <c r="D492" t="str">
        <f>"002503100020000"</f>
        <v>002503100020000</v>
      </c>
      <c r="G492">
        <v>45</v>
      </c>
      <c r="I492" t="str">
        <f t="shared" si="172"/>
        <v>项</v>
      </c>
      <c r="K492" t="str">
        <f>"XQMRSCD"</f>
        <v>XQMRSCD</v>
      </c>
      <c r="L492" t="str">
        <f>"TIIEGIP"</f>
        <v>TIIEGIP</v>
      </c>
      <c r="M492">
        <v>45</v>
      </c>
      <c r="N492" t="str">
        <f>"250310002-a"</f>
        <v>250310002-a</v>
      </c>
      <c r="O492" t="str">
        <f t="shared" si="167"/>
        <v>项</v>
      </c>
      <c r="P492" t="str">
        <f t="shared" si="165"/>
        <v>检验费</v>
      </c>
    </row>
    <row r="493" spans="1:16">
      <c r="A493" t="str">
        <f>"血清促卵泡刺激素测定各种免疫学方法"</f>
        <v>血清促卵泡刺激素测定各种免疫学方法</v>
      </c>
      <c r="B493">
        <v>250310004</v>
      </c>
      <c r="C493" t="str">
        <f t="shared" si="163"/>
        <v>检验</v>
      </c>
      <c r="D493" t="str">
        <f>"002503100040000"</f>
        <v>002503100040000</v>
      </c>
      <c r="G493">
        <v>18</v>
      </c>
      <c r="I493" t="str">
        <f t="shared" si="172"/>
        <v>项</v>
      </c>
      <c r="K493" t="str">
        <f>"XQCLPCJSCDGZMYXFF"</f>
        <v>XQCLPCJSCDGZMYXFF</v>
      </c>
      <c r="L493" t="str">
        <f>"TIWQIGIGIPTTQUIYI"</f>
        <v>TIWQIGIGIPTTQUIYI</v>
      </c>
      <c r="M493">
        <v>18</v>
      </c>
      <c r="N493">
        <v>250310004</v>
      </c>
      <c r="O493" t="str">
        <f t="shared" si="167"/>
        <v>项</v>
      </c>
      <c r="P493" t="str">
        <f t="shared" si="165"/>
        <v>检验费</v>
      </c>
    </row>
    <row r="494" spans="1:16">
      <c r="A494" t="str">
        <f>"(FSH)血清促卵泡刺激素测定"</f>
        <v>(FSH)血清促卵泡刺激素测定</v>
      </c>
      <c r="B494" t="str">
        <f>"250310004-a"</f>
        <v>250310004-a</v>
      </c>
      <c r="C494" t="str">
        <f t="shared" si="163"/>
        <v>检验</v>
      </c>
      <c r="D494" t="str">
        <f>"002503100040000"</f>
        <v>002503100040000</v>
      </c>
      <c r="G494">
        <v>40</v>
      </c>
      <c r="I494" t="str">
        <f t="shared" si="172"/>
        <v>项</v>
      </c>
      <c r="K494" t="str">
        <f>"XQCLPCJSCD"</f>
        <v>XQCLPCJSCD</v>
      </c>
      <c r="L494" t="str">
        <f>"TIWQIGIGIP"</f>
        <v>TIWQIGIGIP</v>
      </c>
      <c r="M494">
        <v>40</v>
      </c>
      <c r="N494" t="str">
        <f>"250310004-a"</f>
        <v>250310004-a</v>
      </c>
      <c r="O494" t="str">
        <f t="shared" si="167"/>
        <v>项</v>
      </c>
      <c r="P494" t="str">
        <f t="shared" si="165"/>
        <v>检验费</v>
      </c>
    </row>
    <row r="495" spans="1:16">
      <c r="A495" t="str">
        <f>"(LH)血清促黄体生成素测定"</f>
        <v>(LH)血清促黄体生成素测定</v>
      </c>
      <c r="B495" t="str">
        <f>"250310005-a"</f>
        <v>250310005-a</v>
      </c>
      <c r="C495" t="str">
        <f t="shared" si="163"/>
        <v>检验</v>
      </c>
      <c r="D495" t="str">
        <f>"002503100050000"</f>
        <v>002503100050000</v>
      </c>
      <c r="G495">
        <v>40</v>
      </c>
      <c r="I495" t="str">
        <f t="shared" si="172"/>
        <v>项</v>
      </c>
      <c r="K495" t="str">
        <f>"XQCHTSCSCD"</f>
        <v>XQCHTSCSCD</v>
      </c>
      <c r="L495" t="str">
        <f>"TIWAWTDGIP"</f>
        <v>TIWAWTDGIP</v>
      </c>
      <c r="M495">
        <v>40</v>
      </c>
      <c r="N495" t="str">
        <f>"250310005-a"</f>
        <v>250310005-a</v>
      </c>
      <c r="O495" t="str">
        <f t="shared" si="167"/>
        <v>项</v>
      </c>
      <c r="P495" t="str">
        <f t="shared" si="165"/>
        <v>检验费</v>
      </c>
    </row>
    <row r="496" spans="1:16">
      <c r="A496" t="str">
        <f>"血清促肾上腺皮质激素测定"</f>
        <v>血清促肾上腺皮质激素测定</v>
      </c>
      <c r="B496" t="str">
        <f>"250310006-a"</f>
        <v>250310006-a</v>
      </c>
      <c r="C496" t="str">
        <f t="shared" si="163"/>
        <v>检验</v>
      </c>
      <c r="G496">
        <v>60</v>
      </c>
      <c r="I496" t="str">
        <f t="shared" si="172"/>
        <v>项</v>
      </c>
      <c r="K496" t="str">
        <f>"XQCSSXPZJSCD"</f>
        <v>XQCSSXPZJSCD</v>
      </c>
      <c r="L496" t="str">
        <f>"TIWJHEHRIGIP"</f>
        <v>TIWJHEHRIGIP</v>
      </c>
      <c r="M496">
        <v>60</v>
      </c>
      <c r="N496" t="str">
        <f>"250310006-a"</f>
        <v>250310006-a</v>
      </c>
      <c r="O496" t="str">
        <f t="shared" si="167"/>
        <v>项</v>
      </c>
      <c r="P496" t="str">
        <f t="shared" si="165"/>
        <v>检验费</v>
      </c>
    </row>
    <row r="497" spans="1:16">
      <c r="A497" t="str">
        <f>"降钙素测定（化学发光法）"</f>
        <v>降钙素测定（化学发光法）</v>
      </c>
      <c r="B497" t="str">
        <f>"250310008-a"</f>
        <v>250310008-a</v>
      </c>
      <c r="C497" t="str">
        <f t="shared" si="163"/>
        <v>检验</v>
      </c>
      <c r="D497" t="str">
        <f>"002503100080000"</f>
        <v>002503100080000</v>
      </c>
      <c r="G497">
        <v>60</v>
      </c>
      <c r="I497" t="str">
        <f t="shared" si="172"/>
        <v>项</v>
      </c>
      <c r="K497" t="str">
        <f>"JGSCD（HXFGF）"</f>
        <v>JGSCD（HXFGF）</v>
      </c>
      <c r="L497" t="str">
        <f>"BQGIPWINII"</f>
        <v>BQGIPWINII</v>
      </c>
      <c r="M497">
        <v>60</v>
      </c>
      <c r="N497" t="str">
        <f>"250310008-a"</f>
        <v>250310008-a</v>
      </c>
      <c r="O497" t="str">
        <f t="shared" si="167"/>
        <v>项</v>
      </c>
      <c r="P497" t="str">
        <f t="shared" si="165"/>
        <v>检验费</v>
      </c>
    </row>
    <row r="498" spans="1:16">
      <c r="A498" t="str">
        <f>"甲状旁腺激素测定"</f>
        <v>甲状旁腺激素测定</v>
      </c>
      <c r="B498" t="str">
        <f>"250310009-a"</f>
        <v>250310009-a</v>
      </c>
      <c r="C498" t="str">
        <f t="shared" si="163"/>
        <v>检验</v>
      </c>
      <c r="D498" t="str">
        <f>"002503100090000"</f>
        <v>002503100090000</v>
      </c>
      <c r="G498">
        <v>40</v>
      </c>
      <c r="I498" t="str">
        <f t="shared" si="172"/>
        <v>项</v>
      </c>
      <c r="K498" t="str">
        <f>"JZPXJSCD"</f>
        <v>JZPXJSCD</v>
      </c>
      <c r="L498" t="str">
        <f>"LUUEIGIP"</f>
        <v>LUUEIGIP</v>
      </c>
      <c r="M498">
        <v>40</v>
      </c>
      <c r="N498" t="str">
        <f>"250310009-a"</f>
        <v>250310009-a</v>
      </c>
      <c r="O498" t="str">
        <f t="shared" si="167"/>
        <v>项</v>
      </c>
      <c r="P498" t="str">
        <f t="shared" si="165"/>
        <v>检验费</v>
      </c>
    </row>
    <row r="499" spans="1:16">
      <c r="A499" t="str">
        <f>"血清甲状腺素(T4)测定"</f>
        <v>血清甲状腺素(T4)测定</v>
      </c>
      <c r="B499" t="str">
        <f>"250310010-a"</f>
        <v>250310010-a</v>
      </c>
      <c r="C499" t="str">
        <f t="shared" si="163"/>
        <v>检验</v>
      </c>
      <c r="D499" t="str">
        <f>"002503100100000"</f>
        <v>002503100100000</v>
      </c>
      <c r="G499">
        <v>40</v>
      </c>
      <c r="I499" t="str">
        <f t="shared" si="172"/>
        <v>项</v>
      </c>
      <c r="K499" t="str">
        <f>"XQJZXS(T4)CD"</f>
        <v>XQJZXS(T4)CD</v>
      </c>
      <c r="L499" t="str">
        <f>"TILUEG(t4)IP"</f>
        <v>TILUEG(t4)IP</v>
      </c>
      <c r="M499">
        <v>40</v>
      </c>
      <c r="N499" t="str">
        <f>"250310010-a"</f>
        <v>250310010-a</v>
      </c>
      <c r="O499" t="str">
        <f t="shared" si="167"/>
        <v>项</v>
      </c>
      <c r="P499" t="str">
        <f t="shared" si="165"/>
        <v>检验费</v>
      </c>
    </row>
    <row r="500" spans="1:16">
      <c r="A500" t="str">
        <f>"血清三碘甲状原氨酸(T3)测定"</f>
        <v>血清三碘甲状原氨酸(T3)测定</v>
      </c>
      <c r="B500" t="str">
        <f>"250310011-a"</f>
        <v>250310011-a</v>
      </c>
      <c r="C500" t="str">
        <f t="shared" si="163"/>
        <v>检验</v>
      </c>
      <c r="D500" t="str">
        <f>"002503100110000"</f>
        <v>002503100110000</v>
      </c>
      <c r="G500">
        <v>40</v>
      </c>
      <c r="I500" t="str">
        <f t="shared" si="172"/>
        <v>项</v>
      </c>
      <c r="K500" t="str">
        <f>"XQSDJZYAS(T3)CD"</f>
        <v>XQSDJZYAS(T3)CD</v>
      </c>
      <c r="L500" t="str">
        <f>"TIDDLUDRS(t3)IP"</f>
        <v>TIDDLUDRS(t3)IP</v>
      </c>
      <c r="M500">
        <v>40</v>
      </c>
      <c r="N500" t="str">
        <f>"250310011-a"</f>
        <v>250310011-a</v>
      </c>
      <c r="O500" t="str">
        <f t="shared" si="167"/>
        <v>项</v>
      </c>
      <c r="P500" t="str">
        <f t="shared" si="165"/>
        <v>检验费</v>
      </c>
    </row>
    <row r="501" spans="1:16">
      <c r="A501" t="str">
        <f>"血清游离甲状腺素(FT4)测定"</f>
        <v>血清游离甲状腺素(FT4)测定</v>
      </c>
      <c r="B501" t="str">
        <f>"250310013-a"</f>
        <v>250310013-a</v>
      </c>
      <c r="C501" t="str">
        <f t="shared" si="163"/>
        <v>检验</v>
      </c>
      <c r="D501" t="str">
        <f>"002503100130000"</f>
        <v>002503100130000</v>
      </c>
      <c r="G501">
        <v>40</v>
      </c>
      <c r="I501" t="str">
        <f t="shared" si="172"/>
        <v>项</v>
      </c>
      <c r="K501" t="str">
        <f>"XQYLJZXS(FT4)CD"</f>
        <v>XQYLJZXS(FT4)CD</v>
      </c>
      <c r="L501" t="str">
        <f>"TIIYLUEG(ft4)IP"</f>
        <v>TIIYLUEG(ft4)IP</v>
      </c>
      <c r="M501">
        <v>40</v>
      </c>
      <c r="N501" t="str">
        <f>"250310013-a"</f>
        <v>250310013-a</v>
      </c>
      <c r="O501" t="str">
        <f t="shared" si="167"/>
        <v>项</v>
      </c>
      <c r="P501" t="str">
        <f t="shared" si="165"/>
        <v>检验费</v>
      </c>
    </row>
    <row r="502" spans="1:16">
      <c r="A502" t="str">
        <f>"血清游离三碘甲状原氨酸(FT3)测定"</f>
        <v>血清游离三碘甲状原氨酸(FT3)测定</v>
      </c>
      <c r="B502" t="str">
        <f>"250310014-a"</f>
        <v>250310014-a</v>
      </c>
      <c r="C502" t="str">
        <f t="shared" si="163"/>
        <v>检验</v>
      </c>
      <c r="D502" t="str">
        <f>"002503100140000"</f>
        <v>002503100140000</v>
      </c>
      <c r="G502">
        <v>40</v>
      </c>
      <c r="I502" t="str">
        <f t="shared" si="172"/>
        <v>项</v>
      </c>
      <c r="K502" t="str">
        <f>"XQYLSDJZYAS(FT3)CD"</f>
        <v>XQYLSDJZYAS(FT3)CD</v>
      </c>
      <c r="L502" t="str">
        <f>"TIIYDDLUDRS(ft3)IP"</f>
        <v>TIIYDDLUDRS(ft3)IP</v>
      </c>
      <c r="M502">
        <v>40</v>
      </c>
      <c r="N502" t="str">
        <f>"250310014-a"</f>
        <v>250310014-a</v>
      </c>
      <c r="O502" t="str">
        <f t="shared" si="167"/>
        <v>项</v>
      </c>
      <c r="P502" t="str">
        <f t="shared" si="165"/>
        <v>检验费</v>
      </c>
    </row>
    <row r="503" spans="1:16">
      <c r="A503" t="str">
        <f>"(TRAB)促甲状腺素受体抗体测定"</f>
        <v>(TRAB)促甲状腺素受体抗体测定</v>
      </c>
      <c r="B503" t="str">
        <f>"250310017-a"</f>
        <v>250310017-a</v>
      </c>
      <c r="C503" t="str">
        <f t="shared" si="163"/>
        <v>检验</v>
      </c>
      <c r="D503" t="str">
        <f>"002503100170000"</f>
        <v>002503100170000</v>
      </c>
      <c r="G503">
        <v>60</v>
      </c>
      <c r="I503" t="str">
        <f t="shared" si="172"/>
        <v>项</v>
      </c>
      <c r="K503" t="str">
        <f>"CJZXSSTKTCD"</f>
        <v>CJZXSSTKTCD</v>
      </c>
      <c r="L503" t="str">
        <f>"WLUEGEWRWIP"</f>
        <v>WLUEGEWRWIP</v>
      </c>
      <c r="M503">
        <v>60</v>
      </c>
      <c r="N503" t="str">
        <f>"250310017-a"</f>
        <v>250310017-a</v>
      </c>
      <c r="O503" t="str">
        <f t="shared" si="167"/>
        <v>项</v>
      </c>
      <c r="P503" t="str">
        <f t="shared" si="165"/>
        <v>检验费</v>
      </c>
    </row>
    <row r="504" spans="1:16">
      <c r="A504" t="str">
        <f>"血浆皮质醇测定"</f>
        <v>血浆皮质醇测定</v>
      </c>
      <c r="B504" t="str">
        <f>"250310018-a"</f>
        <v>250310018-a</v>
      </c>
      <c r="C504" t="str">
        <f t="shared" si="163"/>
        <v>检验</v>
      </c>
      <c r="G504">
        <v>60</v>
      </c>
      <c r="I504" t="str">
        <f t="shared" ref="I504:I509" si="173">"-"</f>
        <v>-</v>
      </c>
      <c r="K504" t="str">
        <f>"XJPZCCD"</f>
        <v>XJPZCCD</v>
      </c>
      <c r="L504" t="str">
        <f>"TUHRSIP"</f>
        <v>TUHRSIP</v>
      </c>
      <c r="M504">
        <v>60</v>
      </c>
      <c r="N504" t="str">
        <f>"250310018-a"</f>
        <v>250310018-a</v>
      </c>
      <c r="O504" t="str">
        <f t="shared" si="167"/>
        <v>项</v>
      </c>
      <c r="P504" t="str">
        <f t="shared" si="165"/>
        <v>检验费</v>
      </c>
    </row>
    <row r="505" spans="1:16">
      <c r="A505" t="str">
        <f>"血清脱氢表雄酮及硫酸酯测定"</f>
        <v>血清脱氢表雄酮及硫酸酯测定</v>
      </c>
      <c r="B505" t="str">
        <f>"250310022-a"</f>
        <v>250310022-a</v>
      </c>
      <c r="C505" t="str">
        <f t="shared" si="163"/>
        <v>检验</v>
      </c>
      <c r="D505" t="str">
        <f>"002503100220000"</f>
        <v>002503100220000</v>
      </c>
      <c r="G505">
        <v>40</v>
      </c>
      <c r="I505" t="str">
        <f>"项"</f>
        <v>项</v>
      </c>
      <c r="K505" t="str">
        <f>"XQTQBXTJLSZCD"</f>
        <v>XQTQBXTJLSZCD</v>
      </c>
      <c r="L505" t="str">
        <f>"TIERGDSEDSSIP"</f>
        <v>TIERGDSEDSSIP</v>
      </c>
      <c r="M505">
        <v>40</v>
      </c>
      <c r="N505" t="str">
        <f>"250310022-a"</f>
        <v>250310022-a</v>
      </c>
      <c r="O505" t="str">
        <f t="shared" si="167"/>
        <v>项</v>
      </c>
      <c r="P505" t="str">
        <f t="shared" si="165"/>
        <v>检验费</v>
      </c>
    </row>
    <row r="506" spans="1:16">
      <c r="A506" t="str">
        <f>"醛固酮测定(化学发光法、荧光免疫法)"</f>
        <v>醛固酮测定(化学发光法、荧光免疫法)</v>
      </c>
      <c r="B506" t="str">
        <f>"250310023-a"</f>
        <v>250310023-a</v>
      </c>
      <c r="C506" t="str">
        <f t="shared" si="163"/>
        <v>检验</v>
      </c>
      <c r="D506" t="str">
        <f>"002503100230000"</f>
        <v>002503100230000</v>
      </c>
      <c r="G506">
        <v>40</v>
      </c>
      <c r="I506" t="str">
        <f t="shared" si="173"/>
        <v>-</v>
      </c>
      <c r="K506" t="str">
        <f>"QGTCDHXFGF"</f>
        <v>QGTCDHXFGF</v>
      </c>
      <c r="L506" t="str">
        <f>"SLSIPWINII"</f>
        <v>SLSIPWINII</v>
      </c>
      <c r="M506">
        <v>40</v>
      </c>
      <c r="N506" t="str">
        <f>"250310023-a"</f>
        <v>250310023-a</v>
      </c>
      <c r="O506" t="str">
        <f t="shared" si="167"/>
        <v>项</v>
      </c>
      <c r="P506" t="str">
        <f t="shared" si="165"/>
        <v>检验费</v>
      </c>
    </row>
    <row r="507" spans="1:16">
      <c r="A507" t="str">
        <f>"血浆肾素活性测定"</f>
        <v>血浆肾素活性测定</v>
      </c>
      <c r="B507">
        <v>250310026</v>
      </c>
      <c r="C507" t="str">
        <f t="shared" si="163"/>
        <v>检验</v>
      </c>
      <c r="D507" t="str">
        <f>"002503100260000"</f>
        <v>002503100260000</v>
      </c>
      <c r="G507">
        <v>30</v>
      </c>
      <c r="I507" t="str">
        <f t="shared" si="173"/>
        <v>-</v>
      </c>
      <c r="K507" t="str">
        <f>"XJSSHXCD"</f>
        <v>XJSSHXCD</v>
      </c>
      <c r="L507" t="str">
        <f>"TUJGINIP"</f>
        <v>TUJGINIP</v>
      </c>
      <c r="M507">
        <v>30</v>
      </c>
      <c r="N507">
        <v>250310026</v>
      </c>
      <c r="O507" t="str">
        <f t="shared" si="167"/>
        <v>项</v>
      </c>
      <c r="P507" t="str">
        <f t="shared" si="165"/>
        <v>检验费</v>
      </c>
    </row>
    <row r="508" spans="1:16">
      <c r="A508" t="str">
        <f>"血管紧张素Ⅰ测定"</f>
        <v>血管紧张素Ⅰ测定</v>
      </c>
      <c r="B508">
        <v>250310027</v>
      </c>
      <c r="C508" t="str">
        <f t="shared" ref="C508:C571" si="174">"检验"</f>
        <v>检验</v>
      </c>
      <c r="G508">
        <v>12</v>
      </c>
      <c r="I508" t="str">
        <f t="shared" si="173"/>
        <v>-</v>
      </c>
      <c r="K508" t="str">
        <f>"XGJZS1CD"</f>
        <v>XGJZS1CD</v>
      </c>
      <c r="L508" t="str">
        <f>"TTJXGIP"</f>
        <v>TTJXGIP</v>
      </c>
      <c r="M508">
        <v>12</v>
      </c>
      <c r="N508">
        <v>250310027</v>
      </c>
      <c r="O508" t="str">
        <f t="shared" si="167"/>
        <v>项</v>
      </c>
      <c r="P508" t="str">
        <f t="shared" ref="P508:P571" si="175">"检验费"</f>
        <v>检验费</v>
      </c>
    </row>
    <row r="509" spans="1:16">
      <c r="A509" t="str">
        <f>"血管紧张素Ⅱ测定"</f>
        <v>血管紧张素Ⅱ测定</v>
      </c>
      <c r="B509">
        <v>250310028</v>
      </c>
      <c r="C509" t="str">
        <f t="shared" si="174"/>
        <v>检验</v>
      </c>
      <c r="D509" t="str">
        <f>"002503100280000"</f>
        <v>002503100280000</v>
      </c>
      <c r="G509">
        <v>12</v>
      </c>
      <c r="I509" t="str">
        <f t="shared" si="173"/>
        <v>-</v>
      </c>
      <c r="K509" t="str">
        <f>"XGJZS2CD"</f>
        <v>XGJZS2CD</v>
      </c>
      <c r="L509" t="str">
        <f>"TTJXGIP"</f>
        <v>TTJXGIP</v>
      </c>
      <c r="M509">
        <v>12</v>
      </c>
      <c r="N509">
        <v>250310028</v>
      </c>
      <c r="O509" t="str">
        <f t="shared" si="167"/>
        <v>项</v>
      </c>
      <c r="P509" t="str">
        <f t="shared" si="175"/>
        <v>检验费</v>
      </c>
    </row>
    <row r="510" spans="1:16">
      <c r="A510" t="str">
        <f>"(T)睾酮测定"</f>
        <v>(T)睾酮测定</v>
      </c>
      <c r="B510" t="str">
        <f>"250310030-a"</f>
        <v>250310030-a</v>
      </c>
      <c r="C510" t="str">
        <f t="shared" si="174"/>
        <v>检验</v>
      </c>
      <c r="D510" t="str">
        <f>"002503100300000"</f>
        <v>002503100300000</v>
      </c>
      <c r="G510">
        <v>60</v>
      </c>
      <c r="I510" t="str">
        <f t="shared" ref="I510:I521" si="176">"项"</f>
        <v>项</v>
      </c>
      <c r="K510" t="str">
        <f>"GTCD"</f>
        <v>GTCD</v>
      </c>
      <c r="L510" t="str">
        <f>"TSIP"</f>
        <v>TSIP</v>
      </c>
      <c r="M510">
        <v>60</v>
      </c>
      <c r="N510" t="str">
        <f>"250310030-a"</f>
        <v>250310030-a</v>
      </c>
      <c r="O510" t="str">
        <f t="shared" si="167"/>
        <v>项</v>
      </c>
      <c r="P510" t="str">
        <f t="shared" si="175"/>
        <v>检验费</v>
      </c>
    </row>
    <row r="511" spans="1:16">
      <c r="A511" t="str">
        <f>"(E2)雌二醇测定"</f>
        <v>(E2)雌二醇测定</v>
      </c>
      <c r="B511" t="str">
        <f>"250310036-a"</f>
        <v>250310036-a</v>
      </c>
      <c r="C511" t="str">
        <f t="shared" si="174"/>
        <v>检验</v>
      </c>
      <c r="D511" t="str">
        <f>"002503100360000"</f>
        <v>002503100360000</v>
      </c>
      <c r="G511">
        <v>60</v>
      </c>
      <c r="I511" t="str">
        <f t="shared" si="176"/>
        <v>项</v>
      </c>
      <c r="K511" t="str">
        <f>"(E2)CECCD"</f>
        <v>(E2)CECCD</v>
      </c>
      <c r="L511" t="str">
        <f>"E2HFSIP"</f>
        <v>E2HFSIP</v>
      </c>
      <c r="M511">
        <v>60</v>
      </c>
      <c r="N511" t="str">
        <f>"250310036-a"</f>
        <v>250310036-a</v>
      </c>
      <c r="O511" t="str">
        <f t="shared" ref="O511:O526" si="177">"项"</f>
        <v>项</v>
      </c>
      <c r="P511" t="str">
        <f t="shared" si="175"/>
        <v>检验费</v>
      </c>
    </row>
    <row r="512" spans="1:16">
      <c r="A512" t="str">
        <f>"(P)孕酮测定"</f>
        <v>(P)孕酮测定</v>
      </c>
      <c r="B512" t="str">
        <f>"250310037-a"</f>
        <v>250310037-a</v>
      </c>
      <c r="C512" t="str">
        <f t="shared" si="174"/>
        <v>检验</v>
      </c>
      <c r="D512" t="str">
        <f>"002503100370000"</f>
        <v>002503100370000</v>
      </c>
      <c r="G512">
        <v>60</v>
      </c>
      <c r="I512" t="str">
        <f t="shared" si="176"/>
        <v>项</v>
      </c>
      <c r="K512" t="str">
        <f>"YTCD"</f>
        <v>YTCD</v>
      </c>
      <c r="L512" t="str">
        <f>"ESIP"</f>
        <v>ESIP</v>
      </c>
      <c r="M512">
        <v>60</v>
      </c>
      <c r="N512" t="str">
        <f>"250310037-a"</f>
        <v>250310037-a</v>
      </c>
      <c r="O512" t="str">
        <f t="shared" si="177"/>
        <v>项</v>
      </c>
      <c r="P512" t="str">
        <f t="shared" si="175"/>
        <v>检验费</v>
      </c>
    </row>
    <row r="513" spans="1:16">
      <c r="A513" t="str">
        <f>"(INS)血清胰岛素测定"</f>
        <v>(INS)血清胰岛素测定</v>
      </c>
      <c r="B513" t="str">
        <f>"250310039-a"</f>
        <v>250310039-a</v>
      </c>
      <c r="C513" t="str">
        <f t="shared" si="174"/>
        <v>检验</v>
      </c>
      <c r="D513" t="str">
        <f>"002503100390000"</f>
        <v>002503100390000</v>
      </c>
      <c r="G513">
        <v>40</v>
      </c>
      <c r="I513" t="str">
        <f t="shared" si="176"/>
        <v>项</v>
      </c>
      <c r="K513" t="str">
        <f>"XQYDSCD"</f>
        <v>XQYDSCD</v>
      </c>
      <c r="L513" t="str">
        <f>"TIEQGIP"</f>
        <v>TIEQGIP</v>
      </c>
      <c r="M513">
        <v>40</v>
      </c>
      <c r="N513" t="str">
        <f>"250310039-a"</f>
        <v>250310039-a</v>
      </c>
      <c r="O513" t="str">
        <f t="shared" si="177"/>
        <v>项</v>
      </c>
      <c r="P513" t="str">
        <f t="shared" si="175"/>
        <v>检验费</v>
      </c>
    </row>
    <row r="514" spans="1:16">
      <c r="A514" t="str">
        <f>"(CP)血清C肽测定"</f>
        <v>(CP)血清C肽测定</v>
      </c>
      <c r="B514" t="str">
        <f>"250310041-a"</f>
        <v>250310041-a</v>
      </c>
      <c r="C514" t="str">
        <f t="shared" si="174"/>
        <v>检验</v>
      </c>
      <c r="D514" t="str">
        <f>"002503100410000"</f>
        <v>002503100410000</v>
      </c>
      <c r="G514">
        <v>60</v>
      </c>
      <c r="I514" t="str">
        <f t="shared" si="176"/>
        <v>项</v>
      </c>
      <c r="K514" t="str">
        <f>"XQCTCD"</f>
        <v>XQCTCD</v>
      </c>
      <c r="L514" t="str">
        <f>"TIcEIP"</f>
        <v>TIcEIP</v>
      </c>
      <c r="M514">
        <v>60</v>
      </c>
      <c r="N514" t="str">
        <f>"250310041-a"</f>
        <v>250310041-a</v>
      </c>
      <c r="O514" t="str">
        <f t="shared" si="177"/>
        <v>项</v>
      </c>
      <c r="P514" t="str">
        <f t="shared" si="175"/>
        <v>检验费</v>
      </c>
    </row>
    <row r="515" spans="1:16">
      <c r="A515" t="str">
        <f>"血清抗谷氨酸脱羧酶抗体测定"</f>
        <v>血清抗谷氨酸脱羧酶抗体测定</v>
      </c>
      <c r="B515" t="str">
        <f>"250310043-a"</f>
        <v>250310043-a</v>
      </c>
      <c r="C515" t="str">
        <f t="shared" si="174"/>
        <v>检验</v>
      </c>
      <c r="D515" t="str">
        <f>"002503100430000"</f>
        <v>002503100430000</v>
      </c>
      <c r="G515">
        <v>60</v>
      </c>
      <c r="I515" t="str">
        <f t="shared" si="176"/>
        <v>项</v>
      </c>
      <c r="K515" t="str">
        <f>"XQKGASTSMKTCD"</f>
        <v>XQKGASTSMKTCD</v>
      </c>
      <c r="L515" t="str">
        <f>"TIRWRSEUSRWIP"</f>
        <v>TIRWRSEUSRWIP</v>
      </c>
      <c r="M515">
        <v>60</v>
      </c>
      <c r="N515" t="str">
        <f>"250310043-a"</f>
        <v>250310043-a</v>
      </c>
      <c r="O515" t="str">
        <f t="shared" si="177"/>
        <v>项</v>
      </c>
      <c r="P515" t="str">
        <f t="shared" si="175"/>
        <v>检验费</v>
      </c>
    </row>
    <row r="516" spans="1:16">
      <c r="A516" t="str">
        <f>"甲状腺球蛋白测定"</f>
        <v>甲状腺球蛋白测定</v>
      </c>
      <c r="B516" t="str">
        <f>"250310053-a"</f>
        <v>250310053-a</v>
      </c>
      <c r="C516" t="str">
        <f t="shared" si="174"/>
        <v>检验</v>
      </c>
      <c r="D516" t="str">
        <f>"002503100530000"</f>
        <v>002503100530000</v>
      </c>
      <c r="G516">
        <v>60</v>
      </c>
      <c r="I516" t="str">
        <f t="shared" si="176"/>
        <v>项</v>
      </c>
      <c r="K516" t="str">
        <f>"JZXQDBCD"</f>
        <v>JZXQDBCD</v>
      </c>
      <c r="L516" t="str">
        <f>"LUEGNRIP"</f>
        <v>LUEGNRIP</v>
      </c>
      <c r="M516">
        <v>60</v>
      </c>
      <c r="N516" t="str">
        <f>"250310053-a"</f>
        <v>250310053-a</v>
      </c>
      <c r="O516" t="str">
        <f t="shared" si="177"/>
        <v>项</v>
      </c>
      <c r="P516" t="str">
        <f t="shared" si="175"/>
        <v>检验费</v>
      </c>
    </row>
    <row r="517" spans="1:16">
      <c r="A517" t="str">
        <f>"降钙素原检测（发光法）"</f>
        <v>降钙素原检测（发光法）</v>
      </c>
      <c r="B517" t="str">
        <f>"250310054-a"</f>
        <v>250310054-a</v>
      </c>
      <c r="C517" t="str">
        <f t="shared" si="174"/>
        <v>检验</v>
      </c>
      <c r="G517">
        <v>70</v>
      </c>
      <c r="I517" t="str">
        <f t="shared" si="176"/>
        <v>项</v>
      </c>
      <c r="K517" t="str">
        <f>"JGSYJCFGF"</f>
        <v>JGSYJCFGF</v>
      </c>
      <c r="L517" t="str">
        <f>"BQGDSINII"</f>
        <v>BQGDSINII</v>
      </c>
      <c r="M517">
        <v>70</v>
      </c>
      <c r="N517" t="str">
        <f>"250310054-a"</f>
        <v>250310054-a</v>
      </c>
      <c r="O517" t="str">
        <f t="shared" si="177"/>
        <v>项</v>
      </c>
      <c r="P517" t="str">
        <f t="shared" si="175"/>
        <v>检验费</v>
      </c>
    </row>
    <row r="518" spans="1:16">
      <c r="A518" t="str">
        <f>"抗缪勒氏管激素定量测定（AMH）(发光法)"</f>
        <v>抗缪勒氏管激素定量测定（AMH）(发光法)</v>
      </c>
      <c r="B518" t="str">
        <f>"250310071-1"</f>
        <v>250310071-1</v>
      </c>
      <c r="C518" t="str">
        <f t="shared" si="174"/>
        <v>检验</v>
      </c>
      <c r="G518">
        <v>160</v>
      </c>
      <c r="I518" t="str">
        <f t="shared" si="176"/>
        <v>项</v>
      </c>
      <c r="K518" t="str">
        <f>"KLSGJSDLCDAMHFGF"</f>
        <v>KLSGJSDLCDAMHFGF</v>
      </c>
      <c r="L518" t="str">
        <f>"RXAQTIGPJIPAMHNI"</f>
        <v>RXAQTIGPJIPAMHNI</v>
      </c>
      <c r="M518">
        <v>160</v>
      </c>
      <c r="N518">
        <v>250310071</v>
      </c>
      <c r="O518" t="str">
        <f t="shared" si="177"/>
        <v>项</v>
      </c>
      <c r="P518" t="str">
        <f t="shared" si="175"/>
        <v>检验费</v>
      </c>
    </row>
    <row r="519" spans="1:16">
      <c r="A519" t="str">
        <f>"脂联素测定"</f>
        <v>脂联素测定</v>
      </c>
      <c r="B519">
        <v>250310074</v>
      </c>
      <c r="C519" t="str">
        <f t="shared" si="174"/>
        <v>检验</v>
      </c>
      <c r="G519">
        <v>50</v>
      </c>
      <c r="I519" t="str">
        <f t="shared" si="176"/>
        <v>项</v>
      </c>
      <c r="K519" t="str">
        <f>"ZLSCD"</f>
        <v>ZLSCD</v>
      </c>
      <c r="L519" t="str">
        <f>"EBGIP"</f>
        <v>EBGIP</v>
      </c>
      <c r="M519">
        <v>50</v>
      </c>
      <c r="O519" t="str">
        <f t="shared" si="177"/>
        <v>项</v>
      </c>
      <c r="P519" t="str">
        <f t="shared" si="175"/>
        <v>检验费</v>
      </c>
    </row>
    <row r="520" spans="1:16">
      <c r="A520" t="str">
        <f>"I型胶原羧基端前肽(PICP)测定"</f>
        <v>I型胶原羧基端前肽(PICP)测定</v>
      </c>
      <c r="B520">
        <v>250311005</v>
      </c>
      <c r="C520" t="str">
        <f t="shared" si="174"/>
        <v>检验</v>
      </c>
      <c r="G520">
        <v>110</v>
      </c>
      <c r="I520" t="str">
        <f t="shared" si="176"/>
        <v>项</v>
      </c>
      <c r="K520" t="str">
        <f>"IXJYJDQPICPCD"</f>
        <v>IXJYJDQPICPCD</v>
      </c>
      <c r="L520" t="str">
        <f>"IGEDUAUUEPICPIP"</f>
        <v>IGEDUAUUEPICPIP</v>
      </c>
      <c r="M520">
        <v>130</v>
      </c>
      <c r="N520">
        <v>250311005</v>
      </c>
      <c r="O520" t="str">
        <f t="shared" si="177"/>
        <v>项</v>
      </c>
      <c r="P520" t="str">
        <f t="shared" si="175"/>
        <v>检验费</v>
      </c>
    </row>
    <row r="521" spans="1:16">
      <c r="A521" t="str">
        <f>"单项补体测定"</f>
        <v>单项补体测定</v>
      </c>
      <c r="B521">
        <v>250401020</v>
      </c>
      <c r="C521" t="str">
        <f t="shared" si="174"/>
        <v>检验</v>
      </c>
      <c r="D521" t="str">
        <f>"002504010200000"</f>
        <v>002504010200000</v>
      </c>
      <c r="G521">
        <v>20</v>
      </c>
      <c r="I521" t="str">
        <f t="shared" si="176"/>
        <v>项</v>
      </c>
      <c r="K521" t="str">
        <f>"DXBTCD"</f>
        <v>DXBTCD</v>
      </c>
      <c r="L521" t="str">
        <f>"UAPWIP"</f>
        <v>UAPWIP</v>
      </c>
      <c r="M521">
        <v>20</v>
      </c>
      <c r="N521">
        <v>250401020</v>
      </c>
      <c r="O521" t="str">
        <f t="shared" si="177"/>
        <v>项</v>
      </c>
      <c r="P521" t="str">
        <f t="shared" si="175"/>
        <v>检验费</v>
      </c>
    </row>
    <row r="522" spans="1:16">
      <c r="A522" t="str">
        <f>"免疫球蛋白IgA定量测定（散射比浊法）"</f>
        <v>免疫球蛋白IgA定量测定（散射比浊法）</v>
      </c>
      <c r="B522" t="str">
        <f>"250401023-a"</f>
        <v>250401023-a</v>
      </c>
      <c r="C522" t="str">
        <f t="shared" si="174"/>
        <v>检验</v>
      </c>
      <c r="D522" t="str">
        <f t="shared" ref="D522:D525" si="178">"002504010230000"</f>
        <v>002504010230000</v>
      </c>
      <c r="G522">
        <v>20</v>
      </c>
      <c r="I522" t="str">
        <f t="shared" ref="I522:I525" si="179">"次"</f>
        <v>次</v>
      </c>
      <c r="K522" t="str">
        <f>"MYQDBIGADLCDSSBZ"</f>
        <v>MYQDBIGADLCDSSBZ</v>
      </c>
      <c r="L522" t="str">
        <f>"QUGNRIGAPJIPATXI"</f>
        <v>QUGNRIGAPJIPATXI</v>
      </c>
      <c r="M522">
        <v>20</v>
      </c>
      <c r="N522" t="str">
        <f t="shared" ref="N522:N525" si="180">"250401023-a"</f>
        <v>250401023-a</v>
      </c>
      <c r="O522" t="str">
        <f t="shared" si="177"/>
        <v>项</v>
      </c>
      <c r="P522" t="str">
        <f t="shared" si="175"/>
        <v>检验费</v>
      </c>
    </row>
    <row r="523" spans="1:16">
      <c r="A523" t="str">
        <f>"免疫球蛋白IgE定量测定（散射比浊发）"</f>
        <v>免疫球蛋白IgE定量测定（散射比浊发）</v>
      </c>
      <c r="B523" t="str">
        <f>"250401023-a-1"</f>
        <v>250401023-a-1</v>
      </c>
      <c r="C523" t="str">
        <f t="shared" si="174"/>
        <v>检验</v>
      </c>
      <c r="D523" t="str">
        <f t="shared" si="178"/>
        <v>002504010230000</v>
      </c>
      <c r="G523">
        <v>20</v>
      </c>
      <c r="I523" t="str">
        <f>"项"</f>
        <v>项</v>
      </c>
      <c r="K523" t="str">
        <f>"MYQDBIGEDLCDSSBZ"</f>
        <v>MYQDBIGEDLCDSSBZ</v>
      </c>
      <c r="L523" t="str">
        <f>"QUGNRIGEPJIPATXI"</f>
        <v>QUGNRIGEPJIPATXI</v>
      </c>
      <c r="M523">
        <v>20</v>
      </c>
      <c r="N523" t="str">
        <f t="shared" si="180"/>
        <v>250401023-a</v>
      </c>
      <c r="O523" t="str">
        <f t="shared" si="177"/>
        <v>项</v>
      </c>
      <c r="P523" t="str">
        <f t="shared" si="175"/>
        <v>检验费</v>
      </c>
    </row>
    <row r="524" spans="1:16">
      <c r="A524" t="str">
        <f>"免疫球蛋白IgG定量测定（散射比浊法）"</f>
        <v>免疫球蛋白IgG定量测定（散射比浊法）</v>
      </c>
      <c r="B524" t="str">
        <f>"250401023-a-2"</f>
        <v>250401023-a-2</v>
      </c>
      <c r="C524" t="str">
        <f t="shared" si="174"/>
        <v>检验</v>
      </c>
      <c r="D524" t="str">
        <f t="shared" si="178"/>
        <v>002504010230000</v>
      </c>
      <c r="G524">
        <v>20</v>
      </c>
      <c r="I524" t="str">
        <f t="shared" si="179"/>
        <v>次</v>
      </c>
      <c r="K524" t="str">
        <f>"MYQDBIGGDLCDSSBZ"</f>
        <v>MYQDBIGGDLCDSSBZ</v>
      </c>
      <c r="L524" t="str">
        <f>"QUGNRIGGPJIPATXI"</f>
        <v>QUGNRIGGPJIPATXI</v>
      </c>
      <c r="M524">
        <v>20</v>
      </c>
      <c r="N524" t="str">
        <f t="shared" si="180"/>
        <v>250401023-a</v>
      </c>
      <c r="O524" t="str">
        <f t="shared" si="177"/>
        <v>项</v>
      </c>
      <c r="P524" t="str">
        <f t="shared" si="175"/>
        <v>检验费</v>
      </c>
    </row>
    <row r="525" spans="1:16">
      <c r="A525" t="str">
        <f>"免疫球蛋白IgM定量测定（散射比浊法）"</f>
        <v>免疫球蛋白IgM定量测定（散射比浊法）</v>
      </c>
      <c r="B525" t="str">
        <f>"250401023-a-3"</f>
        <v>250401023-a-3</v>
      </c>
      <c r="C525" t="str">
        <f t="shared" si="174"/>
        <v>检验</v>
      </c>
      <c r="D525" t="str">
        <f t="shared" si="178"/>
        <v>002504010230000</v>
      </c>
      <c r="G525">
        <v>20</v>
      </c>
      <c r="I525" t="str">
        <f t="shared" si="179"/>
        <v>次</v>
      </c>
      <c r="K525" t="str">
        <f>"MYQDBIGMDLCDSSBZ"</f>
        <v>MYQDBIGMDLCDSSBZ</v>
      </c>
      <c r="L525" t="str">
        <f>"QUGNRIGMPJIPATXI"</f>
        <v>QUGNRIGMPJIPATXI</v>
      </c>
      <c r="M525">
        <v>20</v>
      </c>
      <c r="N525" t="str">
        <f t="shared" si="180"/>
        <v>250401023-a</v>
      </c>
      <c r="O525" t="str">
        <f t="shared" si="177"/>
        <v>项</v>
      </c>
      <c r="P525" t="str">
        <f t="shared" si="175"/>
        <v>检验费</v>
      </c>
    </row>
    <row r="526" spans="1:16">
      <c r="A526" t="str">
        <f>"C-反应蛋白测定(CRP)"</f>
        <v>C-反应蛋白测定(CRP)</v>
      </c>
      <c r="B526">
        <v>250401025</v>
      </c>
      <c r="C526" t="str">
        <f t="shared" si="174"/>
        <v>检验</v>
      </c>
      <c r="G526">
        <v>20</v>
      </c>
      <c r="I526" t="str">
        <f>"项"</f>
        <v>项</v>
      </c>
      <c r="K526" t="str">
        <f>"CFYDBCDCRP"</f>
        <v>CFYDBCDCRP</v>
      </c>
      <c r="L526" t="str">
        <f>"CRYNRIPCRP"</f>
        <v>CRYNRIPCRP</v>
      </c>
      <c r="M526">
        <v>20</v>
      </c>
      <c r="N526">
        <v>250401025</v>
      </c>
      <c r="O526" t="str">
        <f t="shared" si="177"/>
        <v>项</v>
      </c>
      <c r="P526" t="str">
        <f t="shared" si="175"/>
        <v>检验费</v>
      </c>
    </row>
    <row r="527" spans="1:16">
      <c r="A527" t="str">
        <f>"抗核抗体测定(ANA)（免疫学法）"</f>
        <v>抗核抗体测定(ANA)（免疫学法）</v>
      </c>
      <c r="B527" t="str">
        <f>"250402002-a"</f>
        <v>250402002-a</v>
      </c>
      <c r="C527" t="str">
        <f t="shared" si="174"/>
        <v>检验</v>
      </c>
      <c r="G527">
        <v>30</v>
      </c>
      <c r="I527" t="str">
        <f>"次"</f>
        <v>次</v>
      </c>
      <c r="K527" t="str">
        <f>"KHKTCDANAMYXF"</f>
        <v>KHKTCDANAMYXF</v>
      </c>
      <c r="L527" t="str">
        <f>"RSRWIPANAQUII"</f>
        <v>RSRWIPANAQUII</v>
      </c>
      <c r="M527">
        <v>30</v>
      </c>
      <c r="N527" t="str">
        <f>"250402002-a"</f>
        <v>250402002-a</v>
      </c>
      <c r="O527" t="str">
        <f>"次"</f>
        <v>次</v>
      </c>
      <c r="P527" t="str">
        <f t="shared" si="175"/>
        <v>检验费</v>
      </c>
    </row>
    <row r="528" spans="1:16">
      <c r="A528" t="str">
        <f>"抗核提取物抗体测定（抗JO-1)"</f>
        <v>抗核提取物抗体测定（抗JO-1)</v>
      </c>
      <c r="B528" t="str">
        <f>"250402003-2"</f>
        <v>250402003-2</v>
      </c>
      <c r="C528" t="str">
        <f t="shared" si="174"/>
        <v>检验</v>
      </c>
      <c r="G528">
        <v>20</v>
      </c>
      <c r="I528">
        <v>1</v>
      </c>
      <c r="K528" t="str">
        <f>"KHTQWKTCD（KJO-1)"</f>
        <v>KHTQWKTCD（KJO-1)</v>
      </c>
      <c r="L528" t="str">
        <f>"RSRBTRWIPRJO1"</f>
        <v>RSRBTRWIPRJO1</v>
      </c>
      <c r="M528">
        <v>20</v>
      </c>
      <c r="N528">
        <v>250402003</v>
      </c>
      <c r="O528" t="str">
        <f t="shared" ref="O528:O530" si="181">"项"</f>
        <v>项</v>
      </c>
      <c r="P528" t="str">
        <f t="shared" si="175"/>
        <v>检验费</v>
      </c>
    </row>
    <row r="529" spans="1:16">
      <c r="A529" t="str">
        <f>"抗核提取物抗体测定(抗Sc-L-70)"</f>
        <v>抗核提取物抗体测定(抗Sc-L-70)</v>
      </c>
      <c r="B529" t="str">
        <f>"250402003-4"</f>
        <v>250402003-4</v>
      </c>
      <c r="C529" t="str">
        <f t="shared" si="174"/>
        <v>检验</v>
      </c>
      <c r="G529">
        <v>20</v>
      </c>
      <c r="I529">
        <v>1</v>
      </c>
      <c r="K529" t="str">
        <f>"KHTQWKTCD(KSC-L-"</f>
        <v>KHTQWKTCD(KSC-L-</v>
      </c>
      <c r="L529" t="str">
        <f>"RSRBTRWIPRSCL70"</f>
        <v>RSRBTRWIPRSCL70</v>
      </c>
      <c r="M529">
        <v>20</v>
      </c>
      <c r="N529">
        <v>250402003</v>
      </c>
      <c r="O529" t="str">
        <f t="shared" si="181"/>
        <v>项</v>
      </c>
      <c r="P529" t="str">
        <f t="shared" si="175"/>
        <v>检验费</v>
      </c>
    </row>
    <row r="530" spans="1:16">
      <c r="A530" t="str">
        <f>"抗核提取物抗体测定(抗SM)"</f>
        <v>抗核提取物抗体测定(抗SM)</v>
      </c>
      <c r="B530" t="str">
        <f>"250402003-5"</f>
        <v>250402003-5</v>
      </c>
      <c r="C530" t="str">
        <f t="shared" si="174"/>
        <v>检验</v>
      </c>
      <c r="G530">
        <v>20</v>
      </c>
      <c r="I530">
        <v>1</v>
      </c>
      <c r="K530" t="str">
        <f>"KHTQWKTCD(KSM)"</f>
        <v>KHTQWKTCD(KSM)</v>
      </c>
      <c r="L530" t="str">
        <f>"RSRBTRWIPRSM"</f>
        <v>RSRBTRWIPRSM</v>
      </c>
      <c r="M530">
        <v>20</v>
      </c>
      <c r="N530">
        <v>250402003</v>
      </c>
      <c r="O530" t="str">
        <f t="shared" si="181"/>
        <v>项</v>
      </c>
      <c r="P530" t="str">
        <f t="shared" si="175"/>
        <v>检验费</v>
      </c>
    </row>
    <row r="531" spans="1:16">
      <c r="A531" t="str">
        <f>"抗核提取物抗体测定(抗SSA抗体)"</f>
        <v>抗核提取物抗体测定(抗SSA抗体)</v>
      </c>
      <c r="B531" t="str">
        <f>"250402003-6"</f>
        <v>250402003-6</v>
      </c>
      <c r="C531" t="str">
        <f t="shared" si="174"/>
        <v>检验</v>
      </c>
      <c r="G531">
        <v>20</v>
      </c>
      <c r="I531" t="str">
        <f>"次"</f>
        <v>次</v>
      </c>
      <c r="K531" t="str">
        <f>"KHTQWKTCD(KSSAKT)"</f>
        <v>KHTQWKTCD(KSSAKT)</v>
      </c>
      <c r="L531" t="str">
        <f>"RSRBTRWIP(RssaRW)"</f>
        <v>RSRBTRWIP(RssaRW)</v>
      </c>
      <c r="M531">
        <v>20</v>
      </c>
      <c r="N531">
        <v>250402003</v>
      </c>
      <c r="O531" t="str">
        <f>"次"</f>
        <v>次</v>
      </c>
      <c r="P531" t="str">
        <f t="shared" si="175"/>
        <v>检验费</v>
      </c>
    </row>
    <row r="532" spans="1:16">
      <c r="A532" t="str">
        <f>"抗核提取物抗体测定（抗SSB)"</f>
        <v>抗核提取物抗体测定（抗SSB)</v>
      </c>
      <c r="B532" t="str">
        <f>"250402003-7"</f>
        <v>250402003-7</v>
      </c>
      <c r="C532" t="str">
        <f t="shared" si="174"/>
        <v>检验</v>
      </c>
      <c r="G532">
        <v>20</v>
      </c>
      <c r="I532" t="str">
        <f t="shared" ref="I532:I538" si="182">"项"</f>
        <v>项</v>
      </c>
      <c r="K532" t="str">
        <f>"KHTQWKTCD（KSSB)"</f>
        <v>KHTQWKTCD（KSSB)</v>
      </c>
      <c r="L532" t="str">
        <f>"RSRBTRWIPRSSB"</f>
        <v>RSRBTRWIPRSSB</v>
      </c>
      <c r="M532">
        <v>20</v>
      </c>
      <c r="N532">
        <v>250402003</v>
      </c>
      <c r="O532" t="str">
        <f t="shared" ref="O532:O538" si="183">"项"</f>
        <v>项</v>
      </c>
      <c r="P532" t="str">
        <f t="shared" si="175"/>
        <v>检验费</v>
      </c>
    </row>
    <row r="533" spans="1:16">
      <c r="A533" t="str">
        <f>"抗核提取物抗体测定(抗Anti-UIRNP)(免疫学法)"</f>
        <v>抗核提取物抗体测定(抗Anti-UIRNP)(免疫学法)</v>
      </c>
      <c r="B533" t="str">
        <f>"250402003-8"</f>
        <v>250402003-8</v>
      </c>
      <c r="C533" t="str">
        <f t="shared" si="174"/>
        <v>检验</v>
      </c>
      <c r="G533">
        <v>20</v>
      </c>
      <c r="I533" t="str">
        <f t="shared" si="182"/>
        <v>项</v>
      </c>
      <c r="K533" t="str">
        <f>"KHTQWKTCDKANTIUI"</f>
        <v>KHTQWKTCDKANTIUI</v>
      </c>
      <c r="L533" t="str">
        <f>"RSRBTRWIPRANTIUI"</f>
        <v>RSRBTRWIPRANTIUI</v>
      </c>
      <c r="M533">
        <v>20</v>
      </c>
      <c r="N533">
        <v>250402003</v>
      </c>
      <c r="O533" t="str">
        <f t="shared" si="183"/>
        <v>项</v>
      </c>
      <c r="P533" t="str">
        <f t="shared" si="175"/>
        <v>检验费</v>
      </c>
    </row>
    <row r="534" spans="1:16">
      <c r="A534" t="str">
        <f>"抗核糖核蛋白抗体测定（免疫印迹法）"</f>
        <v>抗核糖核蛋白抗体测定（免疫印迹法）</v>
      </c>
      <c r="B534" t="str">
        <f>"250402010-a"</f>
        <v>250402010-a</v>
      </c>
      <c r="C534" t="str">
        <f t="shared" si="174"/>
        <v>检验</v>
      </c>
      <c r="G534">
        <v>20</v>
      </c>
      <c r="I534" t="str">
        <f t="shared" si="182"/>
        <v>项</v>
      </c>
      <c r="K534" t="str">
        <f>"KHTHDBKTCDMYYJF"</f>
        <v>KHTHDBKTCDMYYJF</v>
      </c>
      <c r="L534" t="str">
        <f>"RSOSNRRWIPQUQYI"</f>
        <v>RSOSNRRWIPQUQYI</v>
      </c>
      <c r="M534">
        <v>20</v>
      </c>
      <c r="N534" t="str">
        <f>"250402010-a"</f>
        <v>250402010-a</v>
      </c>
      <c r="O534" t="str">
        <f t="shared" si="183"/>
        <v>项</v>
      </c>
      <c r="P534" t="str">
        <f t="shared" si="175"/>
        <v>检验费</v>
      </c>
    </row>
    <row r="535" spans="1:16">
      <c r="A535" t="str">
        <f>"抗组织细胞抗体测定"</f>
        <v>抗组织细胞抗体测定</v>
      </c>
      <c r="B535">
        <v>250402014</v>
      </c>
      <c r="C535" t="str">
        <f t="shared" si="174"/>
        <v>检验</v>
      </c>
      <c r="D535" t="str">
        <f>"002504020140000"</f>
        <v>002504020140000</v>
      </c>
      <c r="G535">
        <v>20</v>
      </c>
      <c r="I535" t="str">
        <f t="shared" si="182"/>
        <v>项</v>
      </c>
      <c r="K535" t="str">
        <f>"KZZXBKTCD"</f>
        <v>KZZXBKTCD</v>
      </c>
      <c r="L535" t="str">
        <f>"RXXXERWIP"</f>
        <v>RXXXERWIP</v>
      </c>
      <c r="M535">
        <v>40</v>
      </c>
      <c r="N535">
        <v>250402014</v>
      </c>
      <c r="O535" t="str">
        <f t="shared" si="183"/>
        <v>项</v>
      </c>
      <c r="P535" t="str">
        <f t="shared" si="175"/>
        <v>检验费</v>
      </c>
    </row>
    <row r="536" spans="1:16">
      <c r="A536" t="str">
        <f>"抗甲状腺球蛋白抗体测定(TGAb)"</f>
        <v>抗甲状腺球蛋白抗体测定(TGAb)</v>
      </c>
      <c r="B536" t="str">
        <f>"250402017-a"</f>
        <v>250402017-a</v>
      </c>
      <c r="C536" t="str">
        <f t="shared" si="174"/>
        <v>检验</v>
      </c>
      <c r="D536" t="str">
        <f>"002504020170000"</f>
        <v>002504020170000</v>
      </c>
      <c r="G536">
        <v>35</v>
      </c>
      <c r="I536" t="str">
        <f t="shared" si="182"/>
        <v>项</v>
      </c>
      <c r="K536" t="str">
        <f>"KJZXQDBKTC"</f>
        <v>KJZXQDBKTC</v>
      </c>
      <c r="L536" t="str">
        <f>"RLUEGNRRWI"</f>
        <v>RLUEGNRRWI</v>
      </c>
      <c r="M536">
        <v>35</v>
      </c>
      <c r="N536" t="str">
        <f>"250402017-a"</f>
        <v>250402017-a</v>
      </c>
      <c r="O536" t="str">
        <f t="shared" si="183"/>
        <v>项</v>
      </c>
      <c r="P536" t="str">
        <f t="shared" si="175"/>
        <v>检验费</v>
      </c>
    </row>
    <row r="537" spans="1:16">
      <c r="A537" t="str">
        <f>"甲状腺球蛋白测定"</f>
        <v>甲状腺球蛋白测定</v>
      </c>
      <c r="B537" t="str">
        <f>"250402017-b"</f>
        <v>250402017-b</v>
      </c>
      <c r="C537" t="str">
        <f t="shared" si="174"/>
        <v>检验</v>
      </c>
      <c r="D537" t="str">
        <f>"002503100530000"</f>
        <v>002503100530000</v>
      </c>
      <c r="G537">
        <v>55</v>
      </c>
      <c r="I537" t="str">
        <f t="shared" si="182"/>
        <v>项</v>
      </c>
      <c r="K537" t="str">
        <f>"JZXQDBCD"</f>
        <v>JZXQDBCD</v>
      </c>
      <c r="L537" t="str">
        <f>"LUEGNRIP"</f>
        <v>LUEGNRIP</v>
      </c>
      <c r="M537">
        <v>55</v>
      </c>
      <c r="N537" t="str">
        <f>"250402017-b"</f>
        <v>250402017-b</v>
      </c>
      <c r="O537" t="str">
        <f t="shared" si="183"/>
        <v>项</v>
      </c>
      <c r="P537" t="str">
        <f t="shared" si="175"/>
        <v>检验费</v>
      </c>
    </row>
    <row r="538" spans="1:16">
      <c r="A538" t="str">
        <f>"抗甲状腺微粒体抗体测定(TMAb)"</f>
        <v>抗甲状腺微粒体抗体测定(TMAb)</v>
      </c>
      <c r="B538" t="str">
        <f>"250402018-a"</f>
        <v>250402018-a</v>
      </c>
      <c r="C538" t="str">
        <f t="shared" si="174"/>
        <v>检验</v>
      </c>
      <c r="D538" t="str">
        <f>"002504020180000"</f>
        <v>002504020180000</v>
      </c>
      <c r="G538">
        <v>35</v>
      </c>
      <c r="I538" t="str">
        <f t="shared" si="182"/>
        <v>项</v>
      </c>
      <c r="K538" t="str">
        <f>"KJZXWLTKTCDTMAB"</f>
        <v>KJZXWLTKTCDTMAB</v>
      </c>
      <c r="L538" t="str">
        <f>"RLUETOWRWIPTMAB"</f>
        <v>RLUETOWRWIPTMAB</v>
      </c>
      <c r="M538">
        <v>35</v>
      </c>
      <c r="N538" t="str">
        <f>"250402018-a"</f>
        <v>250402018-a</v>
      </c>
      <c r="O538" t="str">
        <f t="shared" si="183"/>
        <v>项</v>
      </c>
      <c r="P538" t="str">
        <f t="shared" si="175"/>
        <v>检验费</v>
      </c>
    </row>
    <row r="539" spans="1:16">
      <c r="A539" t="str">
        <f>"抗胰岛素抗体测定"</f>
        <v>抗胰岛素抗体测定</v>
      </c>
      <c r="B539" t="str">
        <f>"250402026-c"</f>
        <v>250402026-c</v>
      </c>
      <c r="C539" t="str">
        <f t="shared" si="174"/>
        <v>检验</v>
      </c>
      <c r="G539">
        <v>75</v>
      </c>
      <c r="I539" t="str">
        <f>"次"</f>
        <v>次</v>
      </c>
      <c r="K539" t="str">
        <f>"KYDSKTCD"</f>
        <v>KYDSKTCD</v>
      </c>
      <c r="L539" t="str">
        <f>"REQGRWIP"</f>
        <v>REQGRWIP</v>
      </c>
      <c r="M539">
        <v>79</v>
      </c>
      <c r="N539" t="str">
        <f>"250402026-c"</f>
        <v>250402026-c</v>
      </c>
      <c r="O539" t="str">
        <f>"次"</f>
        <v>次</v>
      </c>
      <c r="P539" t="str">
        <f t="shared" si="175"/>
        <v>检验费</v>
      </c>
    </row>
    <row r="540" spans="1:16">
      <c r="A540" t="str">
        <f>"类风湿因子(RF)测定"</f>
        <v>类风湿因子(RF)测定</v>
      </c>
      <c r="B540">
        <v>250402035</v>
      </c>
      <c r="C540" t="str">
        <f t="shared" si="174"/>
        <v>检验</v>
      </c>
      <c r="D540" t="str">
        <f>"002504020350000"</f>
        <v>002504020350000</v>
      </c>
      <c r="G540">
        <v>15</v>
      </c>
      <c r="I540" t="str">
        <f t="shared" ref="I540:I555" si="184">"项"</f>
        <v>项</v>
      </c>
      <c r="K540" t="str">
        <f>"LFSYZ(RF)CD"</f>
        <v>LFSYZ(RF)CD</v>
      </c>
      <c r="L540" t="str">
        <f>"OMILB(rf)IP"</f>
        <v>OMILB(rf)IP</v>
      </c>
      <c r="M540">
        <v>15</v>
      </c>
      <c r="N540">
        <v>250402035</v>
      </c>
      <c r="O540" t="str">
        <f t="shared" ref="O540:O555" si="185">"项"</f>
        <v>项</v>
      </c>
      <c r="P540" t="str">
        <f t="shared" si="175"/>
        <v>检验费</v>
      </c>
    </row>
    <row r="541" spans="1:16">
      <c r="A541" t="str">
        <f>"抗环瓜氨酸肽抗体(抗CCP抗体)测定"</f>
        <v>抗环瓜氨酸肽抗体(抗CCP抗体)测定</v>
      </c>
      <c r="B541">
        <v>250402041</v>
      </c>
      <c r="C541" t="str">
        <f t="shared" si="174"/>
        <v>检验</v>
      </c>
      <c r="G541">
        <v>80</v>
      </c>
      <c r="I541" t="str">
        <f t="shared" si="184"/>
        <v>项</v>
      </c>
      <c r="K541" t="str">
        <f>"KHGASTKT(KCCPKT)CD"</f>
        <v>KHGASTKT(KCCPKT)CD</v>
      </c>
      <c r="L541" t="str">
        <f>"RGRRSERW(RccpRW)IP"</f>
        <v>RGRRSERW(RccpRW)IP</v>
      </c>
      <c r="M541">
        <v>80</v>
      </c>
      <c r="N541">
        <v>250402041</v>
      </c>
      <c r="O541" t="str">
        <f t="shared" si="185"/>
        <v>项</v>
      </c>
      <c r="P541" t="str">
        <f t="shared" si="175"/>
        <v>检验费</v>
      </c>
    </row>
    <row r="542" spans="1:16">
      <c r="A542" t="str">
        <f>"抗甲状腺过氧化物酶抗体"</f>
        <v>抗甲状腺过氧化物酶抗体</v>
      </c>
      <c r="B542">
        <v>250402062</v>
      </c>
      <c r="C542" t="str">
        <f t="shared" si="174"/>
        <v>检验</v>
      </c>
      <c r="D542" t="str">
        <f>"002504020180000"</f>
        <v>002504020180000</v>
      </c>
      <c r="G542">
        <v>70</v>
      </c>
      <c r="I542">
        <v>1</v>
      </c>
      <c r="K542" t="str">
        <f>"KJZXGYHWMKT"</f>
        <v>KJZXGYHWMKT</v>
      </c>
      <c r="L542" t="str">
        <f>"RLUEFRWTSRW"</f>
        <v>RLUEFRWTSRW</v>
      </c>
      <c r="M542">
        <v>70</v>
      </c>
      <c r="N542">
        <v>250402062</v>
      </c>
      <c r="O542" t="str">
        <f t="shared" si="185"/>
        <v>项</v>
      </c>
      <c r="P542" t="str">
        <f t="shared" si="175"/>
        <v>检验费</v>
      </c>
    </row>
    <row r="543" spans="1:16">
      <c r="A543" t="str">
        <f>"甲型肝炎IgM抗体测定(Anti-HAV IgM)（酶免法、放免法)"</f>
        <v>甲型肝炎IgM抗体测定(Anti-HAV IgM)（酶免法、放免法)</v>
      </c>
      <c r="B543" t="str">
        <f>"250403001-a"</f>
        <v>250403001-a</v>
      </c>
      <c r="C543" t="str">
        <f t="shared" si="174"/>
        <v>检验</v>
      </c>
      <c r="D543" t="str">
        <f>"002504030010000"</f>
        <v>002504030010000</v>
      </c>
      <c r="G543">
        <v>10</v>
      </c>
      <c r="I543" t="str">
        <f t="shared" si="184"/>
        <v>项</v>
      </c>
      <c r="K543" t="str">
        <f>"JXGYIGMKTCDANTIH"</f>
        <v>JXGYIGMKTCDANTIH</v>
      </c>
      <c r="L543" t="str">
        <f>"LGEOIGMRWIPANTIH"</f>
        <v>LGEOIGMRWIPANTIH</v>
      </c>
      <c r="M543">
        <v>10</v>
      </c>
      <c r="N543" t="str">
        <f>"250403001-a"</f>
        <v>250403001-a</v>
      </c>
      <c r="O543" t="str">
        <f t="shared" si="185"/>
        <v>项</v>
      </c>
      <c r="P543" t="str">
        <f t="shared" si="175"/>
        <v>检验费</v>
      </c>
    </row>
    <row r="544" spans="1:16">
      <c r="A544" t="str">
        <f>"乙型肝炎表面抗原测定(HBsAg)ELISA法"</f>
        <v>乙型肝炎表面抗原测定(HBsAg)ELISA法</v>
      </c>
      <c r="B544">
        <v>250403004</v>
      </c>
      <c r="C544" t="str">
        <f t="shared" si="174"/>
        <v>检验</v>
      </c>
      <c r="D544" t="str">
        <f>"002504030040000"</f>
        <v>002504030040000</v>
      </c>
      <c r="G544">
        <v>8</v>
      </c>
      <c r="I544" t="str">
        <f t="shared" si="184"/>
        <v>项</v>
      </c>
      <c r="K544" t="str">
        <f>"YXGYBMKYCDHBSAGE"</f>
        <v>YXGYBMKYCDHBSAGE</v>
      </c>
      <c r="L544" t="str">
        <f>"NGEOGDRDIPHBSAGE"</f>
        <v>NGEOGDRDIPHBSAGE</v>
      </c>
      <c r="M544">
        <v>8</v>
      </c>
      <c r="N544">
        <v>250403004</v>
      </c>
      <c r="O544" t="str">
        <f t="shared" si="185"/>
        <v>项</v>
      </c>
      <c r="P544" t="str">
        <f t="shared" si="175"/>
        <v>检验费</v>
      </c>
    </row>
    <row r="545" spans="1:16">
      <c r="A545" t="str">
        <f>"乙型肝炎表面抗原测定(HBsAg)（化学发光法、免疫荧光法）"</f>
        <v>乙型肝炎表面抗原测定(HBsAg)（化学发光法、免疫荧光法）</v>
      </c>
      <c r="B545" t="str">
        <f>"250403004-a"</f>
        <v>250403004-a</v>
      </c>
      <c r="C545" t="str">
        <f t="shared" si="174"/>
        <v>检验</v>
      </c>
      <c r="D545" t="str">
        <f>"002504030040000"</f>
        <v>002504030040000</v>
      </c>
      <c r="G545">
        <v>25</v>
      </c>
      <c r="I545" t="str">
        <f t="shared" si="184"/>
        <v>项</v>
      </c>
      <c r="K545" t="str">
        <f>"YXGYBMKYCD(HBSAG"</f>
        <v>YXGYBMKYCD(HBSAG</v>
      </c>
      <c r="L545" t="str">
        <f>"NGEOGDRDIPHBSAG"</f>
        <v>NGEOGDRDIPHBSAG</v>
      </c>
      <c r="M545">
        <v>25</v>
      </c>
      <c r="N545" t="str">
        <f>"250403004-a"</f>
        <v>250403004-a</v>
      </c>
      <c r="O545" t="str">
        <f t="shared" si="185"/>
        <v>项</v>
      </c>
      <c r="P545" t="str">
        <f t="shared" si="175"/>
        <v>检验费</v>
      </c>
    </row>
    <row r="546" spans="1:16">
      <c r="A546" t="str">
        <f>"乙型肝炎表面抗体测定(Anti-HBs)ELISA法"</f>
        <v>乙型肝炎表面抗体测定(Anti-HBs)ELISA法</v>
      </c>
      <c r="B546">
        <v>250403005</v>
      </c>
      <c r="C546" t="str">
        <f t="shared" si="174"/>
        <v>检验</v>
      </c>
      <c r="D546" t="str">
        <f>"002504030050000"</f>
        <v>002504030050000</v>
      </c>
      <c r="G546">
        <v>8</v>
      </c>
      <c r="I546" t="str">
        <f t="shared" si="184"/>
        <v>项</v>
      </c>
      <c r="K546" t="str">
        <f>"YXGYBMKTCDANTIHB"</f>
        <v>YXGYBMKTCDANTIHB</v>
      </c>
      <c r="L546" t="str">
        <f>"NGEOGDRWIPANTIHB"</f>
        <v>NGEOGDRWIPANTIHB</v>
      </c>
      <c r="M546">
        <v>8</v>
      </c>
      <c r="N546">
        <v>250403005</v>
      </c>
      <c r="O546" t="str">
        <f t="shared" si="185"/>
        <v>项</v>
      </c>
      <c r="P546" t="str">
        <f t="shared" si="175"/>
        <v>检验费</v>
      </c>
    </row>
    <row r="547" spans="1:16">
      <c r="A547" t="str">
        <f>"乙型肝炎表面抗体测定(Anti-HBs)化学发光法、免疫荧光法"</f>
        <v>乙型肝炎表面抗体测定(Anti-HBs)化学发光法、免疫荧光法</v>
      </c>
      <c r="B547" t="str">
        <f>"250403005-a"</f>
        <v>250403005-a</v>
      </c>
      <c r="C547" t="str">
        <f t="shared" si="174"/>
        <v>检验</v>
      </c>
      <c r="D547" t="str">
        <f>"002504030050000"</f>
        <v>002504030050000</v>
      </c>
      <c r="G547">
        <v>25</v>
      </c>
      <c r="I547" t="str">
        <f t="shared" si="184"/>
        <v>项</v>
      </c>
      <c r="K547" t="str">
        <f>"YXGYBMKTCDANTIHB"</f>
        <v>YXGYBMKTCDANTIHB</v>
      </c>
      <c r="L547" t="str">
        <f>"NGEOGDRWIPANTIHB"</f>
        <v>NGEOGDRWIPANTIHB</v>
      </c>
      <c r="M547">
        <v>25</v>
      </c>
      <c r="N547" t="str">
        <f>"250403005-a"</f>
        <v>250403005-a</v>
      </c>
      <c r="O547" t="str">
        <f t="shared" si="185"/>
        <v>项</v>
      </c>
      <c r="P547" t="str">
        <f t="shared" si="175"/>
        <v>检验费</v>
      </c>
    </row>
    <row r="548" spans="1:16">
      <c r="A548" t="str">
        <f>"乙型肝炎e抗原测定(HBeAg)（免疫学法）"</f>
        <v>乙型肝炎e抗原测定(HBeAg)（免疫学法）</v>
      </c>
      <c r="B548">
        <v>250403006</v>
      </c>
      <c r="C548" t="str">
        <f t="shared" si="174"/>
        <v>检验</v>
      </c>
      <c r="D548" t="str">
        <f>"002504030060000"</f>
        <v>002504030060000</v>
      </c>
      <c r="G548">
        <v>4</v>
      </c>
      <c r="I548" t="str">
        <f t="shared" si="184"/>
        <v>项</v>
      </c>
      <c r="K548" t="str">
        <f>"YXGYEKYCDHBEAGMY"</f>
        <v>YXGYEKYCDHBEAGMY</v>
      </c>
      <c r="L548" t="str">
        <f>"NGEOERDIPHBEAGQU"</f>
        <v>NGEOERDIPHBEAGQU</v>
      </c>
      <c r="M548">
        <v>4</v>
      </c>
      <c r="N548">
        <v>250403006</v>
      </c>
      <c r="O548" t="str">
        <f t="shared" si="185"/>
        <v>项</v>
      </c>
      <c r="P548" t="str">
        <f t="shared" si="175"/>
        <v>检验费</v>
      </c>
    </row>
    <row r="549" spans="1:16">
      <c r="A549" t="str">
        <f>"乙型肝炎e抗原测定(HBeAg)（化学发光法、免疫荧光法）"</f>
        <v>乙型肝炎e抗原测定(HBeAg)（化学发光法、免疫荧光法）</v>
      </c>
      <c r="B549" t="str">
        <f>"250403006-a"</f>
        <v>250403006-a</v>
      </c>
      <c r="C549" t="str">
        <f t="shared" si="174"/>
        <v>检验</v>
      </c>
      <c r="D549" t="str">
        <f>"002504030060000"</f>
        <v>002504030060000</v>
      </c>
      <c r="G549">
        <v>25</v>
      </c>
      <c r="I549" t="str">
        <f t="shared" si="184"/>
        <v>项</v>
      </c>
      <c r="K549" t="str">
        <f>"YXGYEKYCD(HBEAG)"</f>
        <v>YXGYEKYCD(HBEAG)</v>
      </c>
      <c r="L549" t="str">
        <f>"NGEOeRDIP(hbeag)"</f>
        <v>NGEOeRDIP(hbeag)</v>
      </c>
      <c r="M549">
        <v>25</v>
      </c>
      <c r="N549" t="str">
        <f>"250403006-a"</f>
        <v>250403006-a</v>
      </c>
      <c r="O549" t="str">
        <f t="shared" si="185"/>
        <v>项</v>
      </c>
      <c r="P549" t="str">
        <f t="shared" si="175"/>
        <v>检验费</v>
      </c>
    </row>
    <row r="550" spans="1:16">
      <c r="A550" t="str">
        <f>"乙型肝炎e抗体测定(Anti-HBe)免疫学法"</f>
        <v>乙型肝炎e抗体测定(Anti-HBe)免疫学法</v>
      </c>
      <c r="B550">
        <v>250403007</v>
      </c>
      <c r="C550" t="str">
        <f t="shared" si="174"/>
        <v>检验</v>
      </c>
      <c r="D550" t="str">
        <f>"002504030070000"</f>
        <v>002504030070000</v>
      </c>
      <c r="G550">
        <v>4</v>
      </c>
      <c r="I550" t="str">
        <f t="shared" si="184"/>
        <v>项</v>
      </c>
      <c r="K550" t="str">
        <f>"YXGYEKTCDANTIHBE"</f>
        <v>YXGYEKTCDANTIHBE</v>
      </c>
      <c r="L550" t="str">
        <f>"NGEOERWIPANTIHBE"</f>
        <v>NGEOERWIPANTIHBE</v>
      </c>
      <c r="M550">
        <v>4</v>
      </c>
      <c r="N550">
        <v>250403007</v>
      </c>
      <c r="O550" t="str">
        <f t="shared" si="185"/>
        <v>项</v>
      </c>
      <c r="P550" t="str">
        <f t="shared" si="175"/>
        <v>检验费</v>
      </c>
    </row>
    <row r="551" spans="1:16">
      <c r="A551" t="str">
        <f>"乙型肝炎e抗体测定(Anti-HBe)化学发光法、免疫荧光法"</f>
        <v>乙型肝炎e抗体测定(Anti-HBe)化学发光法、免疫荧光法</v>
      </c>
      <c r="B551" t="str">
        <f>"250403007-a"</f>
        <v>250403007-a</v>
      </c>
      <c r="C551" t="str">
        <f t="shared" si="174"/>
        <v>检验</v>
      </c>
      <c r="D551" t="str">
        <f>"002504030070000"</f>
        <v>002504030070000</v>
      </c>
      <c r="G551">
        <v>20</v>
      </c>
      <c r="I551" t="str">
        <f t="shared" si="184"/>
        <v>项</v>
      </c>
      <c r="K551" t="str">
        <f>"YXGYEKTCDANTIHBE"</f>
        <v>YXGYEKTCDANTIHBE</v>
      </c>
      <c r="L551" t="str">
        <f>"NGEOERWIPANTIHBE"</f>
        <v>NGEOERWIPANTIHBE</v>
      </c>
      <c r="M551">
        <v>20</v>
      </c>
      <c r="N551" t="str">
        <f>"250403007-a"</f>
        <v>250403007-a</v>
      </c>
      <c r="O551" t="str">
        <f t="shared" si="185"/>
        <v>项</v>
      </c>
      <c r="P551" t="str">
        <f t="shared" si="175"/>
        <v>检验费</v>
      </c>
    </row>
    <row r="552" spans="1:16">
      <c r="A552" t="str">
        <f>"乙型肝炎核心抗体测定(Anti-HBc)（ELISA法）"</f>
        <v>乙型肝炎核心抗体测定(Anti-HBc)（ELISA法）</v>
      </c>
      <c r="B552">
        <v>250403009</v>
      </c>
      <c r="C552" t="str">
        <f t="shared" si="174"/>
        <v>检验</v>
      </c>
      <c r="D552" t="str">
        <f>"002504030090000"</f>
        <v>002504030090000</v>
      </c>
      <c r="G552">
        <v>8</v>
      </c>
      <c r="I552" t="str">
        <f t="shared" si="184"/>
        <v>项</v>
      </c>
      <c r="K552" t="str">
        <f>"YXGYHXKTCD(ANTI-"</f>
        <v>YXGYHXKTCD(ANTI-</v>
      </c>
      <c r="L552" t="str">
        <f>"NGEOSNRWIPANTIHB"</f>
        <v>NGEOSNRWIPANTIHB</v>
      </c>
      <c r="M552">
        <v>8</v>
      </c>
      <c r="N552">
        <v>250403009</v>
      </c>
      <c r="O552" t="str">
        <f t="shared" si="185"/>
        <v>项</v>
      </c>
      <c r="P552" t="str">
        <f t="shared" si="175"/>
        <v>检验费</v>
      </c>
    </row>
    <row r="553" spans="1:16">
      <c r="A553" t="str">
        <f>"乙型肝炎核心抗体测定(Anti-HBc)化学发光法、免疫荧光法"</f>
        <v>乙型肝炎核心抗体测定(Anti-HBc)化学发光法、免疫荧光法</v>
      </c>
      <c r="B553" t="str">
        <f>"250403009-a"</f>
        <v>250403009-a</v>
      </c>
      <c r="C553" t="str">
        <f t="shared" si="174"/>
        <v>检验</v>
      </c>
      <c r="D553" t="str">
        <f>"002504030090000"</f>
        <v>002504030090000</v>
      </c>
      <c r="G553">
        <v>20</v>
      </c>
      <c r="I553" t="str">
        <f t="shared" si="184"/>
        <v>项</v>
      </c>
      <c r="K553" t="str">
        <f>"YXGYHXKTCDANTIHB"</f>
        <v>YXGYHXKTCDANTIHB</v>
      </c>
      <c r="L553" t="str">
        <f>"NGEOSNRWIPANTIHB"</f>
        <v>NGEOSNRWIPANTIHB</v>
      </c>
      <c r="M553">
        <v>20</v>
      </c>
      <c r="N553" t="str">
        <f>"250403009-a"</f>
        <v>250403009-a</v>
      </c>
      <c r="O553" t="str">
        <f t="shared" si="185"/>
        <v>项</v>
      </c>
      <c r="P553" t="str">
        <f t="shared" si="175"/>
        <v>检验费</v>
      </c>
    </row>
    <row r="554" spans="1:16">
      <c r="A554" t="str">
        <f>"丙型肝炎抗体测定(Anti-HCV)"</f>
        <v>丙型肝炎抗体测定(Anti-HCV)</v>
      </c>
      <c r="B554">
        <v>250403014</v>
      </c>
      <c r="C554" t="str">
        <f t="shared" si="174"/>
        <v>检验</v>
      </c>
      <c r="D554" t="str">
        <f>"002504030140000"</f>
        <v>002504030140000</v>
      </c>
      <c r="G554">
        <v>25</v>
      </c>
      <c r="I554" t="str">
        <f t="shared" si="184"/>
        <v>项</v>
      </c>
      <c r="K554" t="str">
        <f>"BXGYKTCDANTIHCV"</f>
        <v>BXGYKTCDANTIHCV</v>
      </c>
      <c r="L554" t="str">
        <f>"GGEORWIPANTIHCV"</f>
        <v>GGEORWIPANTIHCV</v>
      </c>
      <c r="M554">
        <v>25</v>
      </c>
      <c r="N554">
        <v>250403014</v>
      </c>
      <c r="O554" t="str">
        <f t="shared" si="185"/>
        <v>项</v>
      </c>
      <c r="P554" t="str">
        <f t="shared" si="175"/>
        <v>检验费</v>
      </c>
    </row>
    <row r="555" spans="1:16">
      <c r="A555" t="str">
        <f>"戊型肝炎抗体测定"</f>
        <v>戊型肝炎抗体测定</v>
      </c>
      <c r="B555" t="str">
        <f>"250403017-1"</f>
        <v>250403017-1</v>
      </c>
      <c r="C555" t="str">
        <f t="shared" si="174"/>
        <v>检验</v>
      </c>
      <c r="D555" t="str">
        <f t="shared" ref="D555:D557" si="186">"002504030170000"</f>
        <v>002504030170000</v>
      </c>
      <c r="G555">
        <v>30</v>
      </c>
      <c r="I555" t="str">
        <f t="shared" si="184"/>
        <v>项</v>
      </c>
      <c r="K555" t="str">
        <f>"WXGYKTCD"</f>
        <v>WXGYKTCD</v>
      </c>
      <c r="L555" t="str">
        <f>"DGEORWIP"</f>
        <v>DGEORWIP</v>
      </c>
      <c r="M555">
        <v>30</v>
      </c>
      <c r="N555">
        <v>250403017</v>
      </c>
      <c r="O555" t="str">
        <f t="shared" si="185"/>
        <v>项</v>
      </c>
      <c r="P555" t="str">
        <f t="shared" si="175"/>
        <v>检验费</v>
      </c>
    </row>
    <row r="556" spans="1:16">
      <c r="A556" t="str">
        <f>"戊型肝炎IgM抗体测定"</f>
        <v>戊型肝炎IgM抗体测定</v>
      </c>
      <c r="B556" t="str">
        <f>"250403017-2"</f>
        <v>250403017-2</v>
      </c>
      <c r="C556" t="str">
        <f t="shared" si="174"/>
        <v>检验</v>
      </c>
      <c r="D556" t="str">
        <f t="shared" si="186"/>
        <v>002504030170000</v>
      </c>
      <c r="G556">
        <v>30</v>
      </c>
      <c r="I556">
        <v>1</v>
      </c>
      <c r="K556" t="str">
        <f>"WXGYIGMKTCD"</f>
        <v>WXGYIGMKTCD</v>
      </c>
      <c r="L556" t="str">
        <f>"DGEOIGMRWIP"</f>
        <v>DGEOIGMRWIP</v>
      </c>
      <c r="M556">
        <v>30</v>
      </c>
      <c r="N556">
        <v>250403017</v>
      </c>
      <c r="O556" t="str">
        <f>"次"</f>
        <v>次</v>
      </c>
      <c r="P556" t="str">
        <f t="shared" si="175"/>
        <v>检验费</v>
      </c>
    </row>
    <row r="557" spans="1:16">
      <c r="A557" t="str">
        <f>"戊型肝炎IgG抗体测定"</f>
        <v>戊型肝炎IgG抗体测定</v>
      </c>
      <c r="B557" t="str">
        <f>"250403017-3"</f>
        <v>250403017-3</v>
      </c>
      <c r="C557" t="str">
        <f t="shared" si="174"/>
        <v>检验</v>
      </c>
      <c r="D557" t="str">
        <f t="shared" si="186"/>
        <v>002504030170000</v>
      </c>
      <c r="G557">
        <v>30</v>
      </c>
      <c r="I557">
        <v>1</v>
      </c>
      <c r="K557" t="str">
        <f>"WXGYIGGKTCD"</f>
        <v>WXGYIGGKTCD</v>
      </c>
      <c r="L557" t="str">
        <f>"DGEOIGGRWIP"</f>
        <v>DGEOIGGRWIP</v>
      </c>
      <c r="M557">
        <v>30</v>
      </c>
      <c r="N557">
        <v>250403017</v>
      </c>
      <c r="O557" t="str">
        <f>"次"</f>
        <v>次</v>
      </c>
      <c r="P557" t="str">
        <f t="shared" si="175"/>
        <v>检验费</v>
      </c>
    </row>
    <row r="558" spans="1:16">
      <c r="A558" t="str">
        <f>"人免疫缺陷病毒抗体测定(Anti-HIV)"</f>
        <v>人免疫缺陷病毒抗体测定(Anti-HIV)</v>
      </c>
      <c r="B558" t="str">
        <f>"250403019-a"</f>
        <v>250403019-a</v>
      </c>
      <c r="C558" t="str">
        <f t="shared" si="174"/>
        <v>检验</v>
      </c>
      <c r="D558" t="str">
        <f>"002504030190000"</f>
        <v>002504030190000</v>
      </c>
      <c r="G558">
        <v>35</v>
      </c>
      <c r="I558" t="str">
        <f t="shared" ref="I558:I560" si="187">"项"</f>
        <v>项</v>
      </c>
      <c r="K558" t="str">
        <f>"RMYQXBDKTCDANTIH"</f>
        <v>RMYQXBDKTCDANTIH</v>
      </c>
      <c r="L558" t="str">
        <f>"WQURBUGRWIPANTIH"</f>
        <v>WQURBUGRWIPANTIH</v>
      </c>
      <c r="M558">
        <v>35</v>
      </c>
      <c r="N558" t="str">
        <f>"250403019-a"</f>
        <v>250403019-a</v>
      </c>
      <c r="O558" t="str">
        <f t="shared" ref="O558:O561" si="188">"项"</f>
        <v>项</v>
      </c>
      <c r="P558" t="str">
        <f t="shared" si="175"/>
        <v>检验费</v>
      </c>
    </row>
    <row r="559" spans="1:16">
      <c r="A559" t="str">
        <f>"艾滋病抗体测定"</f>
        <v>艾滋病抗体测定</v>
      </c>
      <c r="B559" t="str">
        <f>"250403019-d"</f>
        <v>250403019-d</v>
      </c>
      <c r="C559" t="str">
        <f t="shared" si="174"/>
        <v>检验</v>
      </c>
      <c r="D559" t="str">
        <f>"002504030190000"</f>
        <v>002504030190000</v>
      </c>
      <c r="G559" t="str">
        <f>"0"</f>
        <v>0</v>
      </c>
      <c r="I559" t="str">
        <f t="shared" si="187"/>
        <v>项</v>
      </c>
      <c r="K559" t="str">
        <f>"AZBKTCD"</f>
        <v>AZBKTCD</v>
      </c>
      <c r="L559" t="str">
        <f>"AIURWIP"</f>
        <v>AIURWIP</v>
      </c>
      <c r="M559">
        <v>35</v>
      </c>
      <c r="N559" t="str">
        <f>"250403019-d"</f>
        <v>250403019-d</v>
      </c>
      <c r="O559" t="str">
        <f t="shared" si="188"/>
        <v>项</v>
      </c>
      <c r="P559" t="str">
        <f t="shared" si="175"/>
        <v>检验费</v>
      </c>
    </row>
    <row r="560" spans="1:16">
      <c r="A560" t="str">
        <f>"弓形体抗体测定IgG（各种免疫学方法）"</f>
        <v>弓形体抗体测定IgG（各种免疫学方法）</v>
      </c>
      <c r="B560">
        <v>250403020</v>
      </c>
      <c r="C560" t="str">
        <f t="shared" si="174"/>
        <v>检验</v>
      </c>
      <c r="D560" t="str">
        <f>"002504030200000"</f>
        <v>002504030200000</v>
      </c>
      <c r="G560">
        <v>25</v>
      </c>
      <c r="I560" t="str">
        <f t="shared" si="187"/>
        <v>项</v>
      </c>
      <c r="K560" t="str">
        <f>"GXTKTCDIGGGZMYXF"</f>
        <v>GXTKTCDIGGGZMYXF</v>
      </c>
      <c r="L560" t="str">
        <f>"XGWRWIPIGGTTQUIY"</f>
        <v>XGWRWIPIGGTTQUIY</v>
      </c>
      <c r="M560">
        <v>25</v>
      </c>
      <c r="N560">
        <v>250403020</v>
      </c>
      <c r="O560" t="str">
        <f t="shared" si="188"/>
        <v>项</v>
      </c>
      <c r="P560" t="str">
        <f t="shared" si="175"/>
        <v>检验费</v>
      </c>
    </row>
    <row r="561" spans="1:16">
      <c r="A561" t="str">
        <f>"弓形体抗体测定IgM（各种免疫学方法）"</f>
        <v>弓形体抗体测定IgM（各种免疫学方法）</v>
      </c>
      <c r="B561" t="str">
        <f>"250403020-2"</f>
        <v>250403020-2</v>
      </c>
      <c r="C561" t="str">
        <f t="shared" si="174"/>
        <v>检验</v>
      </c>
      <c r="D561" t="str">
        <f>"002504030200000"</f>
        <v>002504030200000</v>
      </c>
      <c r="G561">
        <v>25</v>
      </c>
      <c r="I561" t="str">
        <f>"-"</f>
        <v>-</v>
      </c>
      <c r="K561" t="str">
        <f>"GXTKTCDIGM"</f>
        <v>GXTKTCDIGM</v>
      </c>
      <c r="L561" t="str">
        <f>"XGWRWIPIGM"</f>
        <v>XGWRWIPIGM</v>
      </c>
      <c r="M561">
        <v>25</v>
      </c>
      <c r="N561" t="str">
        <f>"250403020-2"</f>
        <v>250403020-2</v>
      </c>
      <c r="O561" t="str">
        <f t="shared" si="188"/>
        <v>项</v>
      </c>
      <c r="P561" t="str">
        <f t="shared" si="175"/>
        <v>检验费</v>
      </c>
    </row>
    <row r="562" spans="1:16">
      <c r="A562" t="str">
        <f>"风疹病毒抗体测定"</f>
        <v>风疹病毒抗体测定</v>
      </c>
      <c r="B562">
        <v>250403021</v>
      </c>
      <c r="C562" t="str">
        <f t="shared" si="174"/>
        <v>检验</v>
      </c>
      <c r="D562" t="str">
        <f>"002504030210000"</f>
        <v>002504030210000</v>
      </c>
      <c r="G562">
        <v>20</v>
      </c>
      <c r="I562">
        <v>1</v>
      </c>
      <c r="K562" t="str">
        <f>"FZBDKTCD"</f>
        <v>FZBDKTCD</v>
      </c>
      <c r="L562" t="str">
        <f>"MUUGRWIP"</f>
        <v>MUUGRWIP</v>
      </c>
      <c r="M562">
        <v>20</v>
      </c>
      <c r="N562">
        <v>250403021</v>
      </c>
      <c r="O562" t="str">
        <f>"次"</f>
        <v>次</v>
      </c>
      <c r="P562" t="str">
        <f t="shared" si="175"/>
        <v>检验费</v>
      </c>
    </row>
    <row r="563" spans="1:16">
      <c r="A563" t="str">
        <f>"巨细胞病毒抗体测定"</f>
        <v>巨细胞病毒抗体测定</v>
      </c>
      <c r="B563">
        <v>250403022</v>
      </c>
      <c r="C563" t="str">
        <f t="shared" si="174"/>
        <v>检验</v>
      </c>
      <c r="D563" t="str">
        <f>"002504030220000"</f>
        <v>002504030220000</v>
      </c>
      <c r="G563">
        <v>25</v>
      </c>
      <c r="I563" t="str">
        <f t="shared" ref="I563:I566" si="189">"项"</f>
        <v>项</v>
      </c>
      <c r="K563" t="str">
        <f>"JXBBDKTCD"</f>
        <v>JXBBDKTCD</v>
      </c>
      <c r="L563" t="str">
        <f>"AXEUGRWIP"</f>
        <v>AXEUGRWIP</v>
      </c>
      <c r="M563">
        <v>25</v>
      </c>
      <c r="N563">
        <v>250403022</v>
      </c>
      <c r="O563" t="str">
        <f t="shared" ref="O563:O580" si="190">"项"</f>
        <v>项</v>
      </c>
      <c r="P563" t="str">
        <f t="shared" si="175"/>
        <v>检验费</v>
      </c>
    </row>
    <row r="564" spans="1:16">
      <c r="A564" t="str">
        <f>"巨细胞病毒抗体测定IgG"</f>
        <v>巨细胞病毒抗体测定IgG</v>
      </c>
      <c r="B564" t="str">
        <f>"250403022-1"</f>
        <v>250403022-1</v>
      </c>
      <c r="C564" t="str">
        <f t="shared" si="174"/>
        <v>检验</v>
      </c>
      <c r="G564">
        <v>25</v>
      </c>
      <c r="I564" t="str">
        <f>"次"</f>
        <v>次</v>
      </c>
      <c r="K564" t="str">
        <f>"JXBBDKTCDIGG"</f>
        <v>JXBBDKTCDIGG</v>
      </c>
      <c r="L564" t="str">
        <f>"AXEUGRWIPIGG"</f>
        <v>AXEUGRWIPIGG</v>
      </c>
      <c r="M564">
        <v>25</v>
      </c>
      <c r="N564">
        <v>250403022</v>
      </c>
      <c r="O564" t="str">
        <f>"次"</f>
        <v>次</v>
      </c>
      <c r="P564" t="str">
        <f t="shared" si="175"/>
        <v>检验费</v>
      </c>
    </row>
    <row r="565" spans="1:16">
      <c r="A565" t="str">
        <f>"巨细胞病毒抗体测定IgM"</f>
        <v>巨细胞病毒抗体测定IgM</v>
      </c>
      <c r="B565" t="str">
        <f>"250403022-2"</f>
        <v>250403022-2</v>
      </c>
      <c r="C565" t="str">
        <f t="shared" si="174"/>
        <v>检验</v>
      </c>
      <c r="G565">
        <v>25</v>
      </c>
      <c r="I565" t="str">
        <f t="shared" si="189"/>
        <v>项</v>
      </c>
      <c r="K565" t="str">
        <f>"JXBBDKTCDIGM"</f>
        <v>JXBBDKTCDIGM</v>
      </c>
      <c r="L565" t="str">
        <f>"AXEUGRWIPIGM"</f>
        <v>AXEUGRWIPIGM</v>
      </c>
      <c r="M565">
        <v>25</v>
      </c>
      <c r="N565">
        <v>250403022</v>
      </c>
      <c r="O565" t="str">
        <f t="shared" si="190"/>
        <v>项</v>
      </c>
      <c r="P565" t="str">
        <f t="shared" si="175"/>
        <v>检验费</v>
      </c>
    </row>
    <row r="566" spans="1:16">
      <c r="A566" t="str">
        <f>"巨细胞病毒抗体测定（化学发光法、免疫荧光法）"</f>
        <v>巨细胞病毒抗体测定（化学发光法、免疫荧光法）</v>
      </c>
      <c r="B566" t="str">
        <f>"250403022-a"</f>
        <v>250403022-a</v>
      </c>
      <c r="C566" t="str">
        <f t="shared" si="174"/>
        <v>检验</v>
      </c>
      <c r="G566">
        <v>80</v>
      </c>
      <c r="I566" t="str">
        <f t="shared" si="189"/>
        <v>项</v>
      </c>
      <c r="K566" t="str">
        <f>"JXBBDKTCDHXFGFMY"</f>
        <v>JXBBDKTCDHXFGFMY</v>
      </c>
      <c r="L566" t="str">
        <f>"AXEUGRWIPWINIIQU"</f>
        <v>AXEUGRWIPWINIIQU</v>
      </c>
      <c r="M566">
        <v>80</v>
      </c>
      <c r="N566" t="str">
        <f>"250403022-a"</f>
        <v>250403022-a</v>
      </c>
      <c r="O566" t="str">
        <f t="shared" si="190"/>
        <v>项</v>
      </c>
      <c r="P566" t="str">
        <f t="shared" si="175"/>
        <v>检验费</v>
      </c>
    </row>
    <row r="567" spans="1:16">
      <c r="A567" t="str">
        <f>"单纯疱疹病毒Ⅱ型抗体测定（各种免疫学方法）"</f>
        <v>单纯疱疹病毒Ⅱ型抗体测定（各种免疫学方法）</v>
      </c>
      <c r="B567">
        <v>250403023</v>
      </c>
      <c r="C567" t="str">
        <f t="shared" si="174"/>
        <v>检验</v>
      </c>
      <c r="D567" t="str">
        <f>"002504030230000"</f>
        <v>002504030230000</v>
      </c>
      <c r="G567">
        <v>25</v>
      </c>
      <c r="I567" t="str">
        <f>"-"</f>
        <v>-</v>
      </c>
      <c r="K567" t="str">
        <f>"DCZBDXKTCDGZMYXF"</f>
        <v>DCZBDXKTCDGZMYXF</v>
      </c>
      <c r="L567" t="str">
        <f>"UXUUUGGRWIPTTQUI"</f>
        <v>UXUUUGGRWIPTTQUI</v>
      </c>
      <c r="M567">
        <v>25</v>
      </c>
      <c r="N567">
        <v>250403023</v>
      </c>
      <c r="O567" t="str">
        <f t="shared" si="190"/>
        <v>项</v>
      </c>
      <c r="P567" t="str">
        <f t="shared" si="175"/>
        <v>检验费</v>
      </c>
    </row>
    <row r="568" spans="1:16">
      <c r="A568" t="str">
        <f>"单纯疱疹病毒抗体测定"</f>
        <v>单纯疱疹病毒抗体测定</v>
      </c>
      <c r="B568">
        <v>250403024</v>
      </c>
      <c r="C568" t="str">
        <f t="shared" si="174"/>
        <v>检验</v>
      </c>
      <c r="D568" t="str">
        <f>"002504030230000"</f>
        <v>002504030230000</v>
      </c>
      <c r="G568">
        <v>25</v>
      </c>
      <c r="I568" t="str">
        <f t="shared" ref="I568:I576" si="191">"项"</f>
        <v>项</v>
      </c>
      <c r="K568" t="str">
        <f>"DCPZBDKTCD"</f>
        <v>DCPZBDKTCD</v>
      </c>
      <c r="L568" t="str">
        <f>"UXUUUGRWIP"</f>
        <v>UXUUUGRWIP</v>
      </c>
      <c r="M568">
        <v>25</v>
      </c>
      <c r="N568">
        <v>250403024</v>
      </c>
      <c r="O568" t="str">
        <f t="shared" si="190"/>
        <v>项</v>
      </c>
      <c r="P568" t="str">
        <f t="shared" si="175"/>
        <v>检验费</v>
      </c>
    </row>
    <row r="569" spans="1:16">
      <c r="A569" t="str">
        <f>"单纯疱疹病毒抗体测定IgM"</f>
        <v>单纯疱疹病毒抗体测定IgM</v>
      </c>
      <c r="B569" t="str">
        <f>"250403024-1"</f>
        <v>250403024-1</v>
      </c>
      <c r="C569" t="str">
        <f t="shared" si="174"/>
        <v>检验</v>
      </c>
      <c r="G569">
        <v>25</v>
      </c>
      <c r="I569" t="str">
        <f t="shared" si="191"/>
        <v>项</v>
      </c>
      <c r="K569" t="str">
        <f>"DCZBDKTCDIGM"</f>
        <v>DCZBDKTCDIGM</v>
      </c>
      <c r="L569" t="str">
        <f>"UXUUUGRWIPIGM"</f>
        <v>UXUUUGRWIPIGM</v>
      </c>
      <c r="M569">
        <v>25</v>
      </c>
      <c r="N569">
        <v>250403024</v>
      </c>
      <c r="O569" t="str">
        <f t="shared" si="190"/>
        <v>项</v>
      </c>
      <c r="P569" t="str">
        <f t="shared" si="175"/>
        <v>检验费</v>
      </c>
    </row>
    <row r="570" spans="1:16">
      <c r="A570" t="str">
        <f>"单纯疱疹病毒抗体测定IgG"</f>
        <v>单纯疱疹病毒抗体测定IgG</v>
      </c>
      <c r="B570" t="str">
        <f>"250403024-2"</f>
        <v>250403024-2</v>
      </c>
      <c r="C570" t="str">
        <f t="shared" si="174"/>
        <v>检验</v>
      </c>
      <c r="G570">
        <v>25</v>
      </c>
      <c r="I570" t="str">
        <f t="shared" si="191"/>
        <v>项</v>
      </c>
      <c r="K570" t="str">
        <f>"DCZBDKTCDIGG"</f>
        <v>DCZBDKTCDIGG</v>
      </c>
      <c r="L570" t="str">
        <f>"UXUUUGRWIPIGG"</f>
        <v>UXUUUGRWIPIGG</v>
      </c>
      <c r="M570">
        <v>25</v>
      </c>
      <c r="N570">
        <v>250403024</v>
      </c>
      <c r="O570" t="str">
        <f t="shared" si="190"/>
        <v>项</v>
      </c>
      <c r="P570" t="str">
        <f t="shared" si="175"/>
        <v>检验费</v>
      </c>
    </row>
    <row r="571" spans="1:16">
      <c r="A571" t="str">
        <f>"呼吸道合胞病毒抗体测定"</f>
        <v>呼吸道合胞病毒抗体测定</v>
      </c>
      <c r="B571">
        <v>250403026</v>
      </c>
      <c r="C571" t="str">
        <f t="shared" si="174"/>
        <v>检验</v>
      </c>
      <c r="G571">
        <v>20</v>
      </c>
      <c r="I571" t="str">
        <f t="shared" si="191"/>
        <v>项</v>
      </c>
      <c r="K571" t="str">
        <f>"HXDHBBDKTCD"</f>
        <v>HXDHBBDKTCD</v>
      </c>
      <c r="L571" t="str">
        <f>"KKUWEUGRWIP"</f>
        <v>KKUWEUGRWIP</v>
      </c>
      <c r="M571">
        <v>20</v>
      </c>
      <c r="N571">
        <v>250403026</v>
      </c>
      <c r="O571" t="str">
        <f t="shared" si="190"/>
        <v>项</v>
      </c>
      <c r="P571" t="str">
        <f t="shared" si="175"/>
        <v>检验费</v>
      </c>
    </row>
    <row r="572" spans="1:16">
      <c r="A572" t="str">
        <f>"副流感病毒抗体测定"</f>
        <v>副流感病毒抗体测定</v>
      </c>
      <c r="B572">
        <v>250403028</v>
      </c>
      <c r="C572" t="str">
        <f t="shared" ref="C572:C581" si="192">"检验"</f>
        <v>检验</v>
      </c>
      <c r="G572">
        <v>20</v>
      </c>
      <c r="I572" t="str">
        <f t="shared" si="191"/>
        <v>项</v>
      </c>
      <c r="K572" t="str">
        <f>"FLGBDKTCD"</f>
        <v>FLGBDKTCD</v>
      </c>
      <c r="L572" t="str">
        <f>"GIDUGRWIP"</f>
        <v>GIDUGRWIP</v>
      </c>
      <c r="M572">
        <v>20</v>
      </c>
      <c r="N572">
        <v>250403028</v>
      </c>
      <c r="O572" t="str">
        <f t="shared" si="190"/>
        <v>项</v>
      </c>
      <c r="P572" t="str">
        <f t="shared" ref="P572:P625" si="193">"检验费"</f>
        <v>检验费</v>
      </c>
    </row>
    <row r="573" spans="1:16">
      <c r="A573" t="str">
        <f>"腺病毒抗体测定"</f>
        <v>腺病毒抗体测定</v>
      </c>
      <c r="B573">
        <v>250403031</v>
      </c>
      <c r="C573" t="str">
        <f t="shared" si="192"/>
        <v>检验</v>
      </c>
      <c r="G573">
        <v>15</v>
      </c>
      <c r="I573" t="str">
        <f t="shared" si="191"/>
        <v>项</v>
      </c>
      <c r="K573" t="str">
        <f>"XBDKTCD"</f>
        <v>XBDKTCD</v>
      </c>
      <c r="L573" t="str">
        <f>"EUGRWIP"</f>
        <v>EUGRWIP</v>
      </c>
      <c r="M573">
        <v>15</v>
      </c>
      <c r="N573">
        <v>250403031</v>
      </c>
      <c r="O573" t="str">
        <f t="shared" si="190"/>
        <v>项</v>
      </c>
      <c r="P573" t="str">
        <f t="shared" si="193"/>
        <v>检验费</v>
      </c>
    </row>
    <row r="574" spans="1:16">
      <c r="A574" t="str">
        <f>"病毒血清学试验"</f>
        <v>病毒血清学试验</v>
      </c>
      <c r="B574">
        <v>250403035</v>
      </c>
      <c r="C574" t="str">
        <f t="shared" si="192"/>
        <v>检验</v>
      </c>
      <c r="G574">
        <v>25</v>
      </c>
      <c r="I574" t="str">
        <f t="shared" si="191"/>
        <v>项</v>
      </c>
      <c r="K574" t="str">
        <f>"BDXQXSY"</f>
        <v>BDXQXSY</v>
      </c>
      <c r="L574" t="str">
        <f>"UGTIIYC"</f>
        <v>UGTIIYC</v>
      </c>
      <c r="M574">
        <v>25</v>
      </c>
      <c r="N574">
        <v>250403035</v>
      </c>
      <c r="O574" t="str">
        <f t="shared" si="190"/>
        <v>项</v>
      </c>
      <c r="P574" t="str">
        <f t="shared" si="193"/>
        <v>检验费</v>
      </c>
    </row>
    <row r="575" spans="1:16">
      <c r="A575" t="str">
        <f>"细菌抗体测定（各种免疫学方法）"</f>
        <v>细菌抗体测定（各种免疫学方法）</v>
      </c>
      <c r="B575">
        <v>250403042</v>
      </c>
      <c r="C575" t="str">
        <f t="shared" si="192"/>
        <v>检验</v>
      </c>
      <c r="D575" t="str">
        <f>"002504030420000"</f>
        <v>002504030420000</v>
      </c>
      <c r="G575">
        <v>25</v>
      </c>
      <c r="I575" t="str">
        <f t="shared" si="191"/>
        <v>项</v>
      </c>
      <c r="K575" t="str">
        <f>"XJKTCDGZMYXFF"</f>
        <v>XJKTCDGZMYXFF</v>
      </c>
      <c r="L575" t="str">
        <f>"XARWIPTTQUIYI"</f>
        <v>XARWIPTTQUIYI</v>
      </c>
      <c r="M575">
        <v>25</v>
      </c>
      <c r="N575">
        <v>250403042</v>
      </c>
      <c r="O575" t="str">
        <f t="shared" si="190"/>
        <v>项</v>
      </c>
      <c r="P575" t="str">
        <f t="shared" si="193"/>
        <v>检验费</v>
      </c>
    </row>
    <row r="576" spans="1:16">
      <c r="A576" t="str">
        <f>"幽门螺杆菌抗体测定-d"</f>
        <v>幽门螺杆菌抗体测定-d</v>
      </c>
      <c r="B576" t="str">
        <f>"250403042-d"</f>
        <v>250403042-d</v>
      </c>
      <c r="C576" t="str">
        <f t="shared" si="192"/>
        <v>检验</v>
      </c>
      <c r="D576" t="str">
        <f>"002504030420000"</f>
        <v>002504030420000</v>
      </c>
      <c r="G576">
        <v>25</v>
      </c>
      <c r="I576" t="str">
        <f t="shared" si="191"/>
        <v>项</v>
      </c>
      <c r="K576" t="str">
        <f>"YMLGJKTCD-D"</f>
        <v>YMLGJKTCD-D</v>
      </c>
      <c r="L576" t="str">
        <f>"XUJSARWIPD"</f>
        <v>XUJSARWIPD</v>
      </c>
      <c r="M576">
        <v>65</v>
      </c>
      <c r="N576" t="str">
        <f>"250403042-d"</f>
        <v>250403042-d</v>
      </c>
      <c r="O576" t="str">
        <f t="shared" si="190"/>
        <v>项</v>
      </c>
      <c r="P576" t="str">
        <f t="shared" si="193"/>
        <v>检验费</v>
      </c>
    </row>
    <row r="577" spans="1:16">
      <c r="A577" t="str">
        <f>"抗链球菌溶血素O测定(ASO)（免疫法）"</f>
        <v>抗链球菌溶血素O测定(ASO)（免疫法）</v>
      </c>
      <c r="B577" t="str">
        <f>"250403043-a"</f>
        <v>250403043-a</v>
      </c>
      <c r="C577" t="str">
        <f t="shared" si="192"/>
        <v>检验</v>
      </c>
      <c r="D577" t="str">
        <f>"002504030430000"</f>
        <v>002504030430000</v>
      </c>
      <c r="G577">
        <v>30</v>
      </c>
      <c r="I577" t="str">
        <f>"-"</f>
        <v>-</v>
      </c>
      <c r="K577" t="str">
        <f>"KLQJRXSOCDASOMYF"</f>
        <v>KLQJRXSOCDASOMYF</v>
      </c>
      <c r="L577" t="str">
        <f>"RQGAITGOIPASOQUI"</f>
        <v>RQGAITGOIPASOQUI</v>
      </c>
      <c r="M577">
        <v>30</v>
      </c>
      <c r="N577" t="str">
        <f>"250403043-a"</f>
        <v>250403043-a</v>
      </c>
      <c r="O577" t="str">
        <f t="shared" si="190"/>
        <v>项</v>
      </c>
      <c r="P577" t="str">
        <f t="shared" si="193"/>
        <v>检验费</v>
      </c>
    </row>
    <row r="578" spans="1:16">
      <c r="A578" t="str">
        <f>"梅毒螺旋体特异抗体测定（凝集法）"</f>
        <v>梅毒螺旋体特异抗体测定（凝集法）</v>
      </c>
      <c r="B578">
        <v>250403053</v>
      </c>
      <c r="C578" t="str">
        <f t="shared" si="192"/>
        <v>检验</v>
      </c>
      <c r="D578" t="str">
        <f>"002504030530000"</f>
        <v>002504030530000</v>
      </c>
      <c r="G578">
        <v>20</v>
      </c>
      <c r="I578" t="str">
        <f t="shared" ref="I578:I580" si="194">"项"</f>
        <v>项</v>
      </c>
      <c r="K578" t="str">
        <f>"MDLXTTYKTC"</f>
        <v>MDLXTTYKTC</v>
      </c>
      <c r="L578" t="str">
        <f>"SGJYWTNRWI"</f>
        <v>SGJYWTNRWI</v>
      </c>
      <c r="M578">
        <v>20</v>
      </c>
      <c r="N578">
        <v>250403053</v>
      </c>
      <c r="O578" t="str">
        <f t="shared" si="190"/>
        <v>项</v>
      </c>
      <c r="P578" t="str">
        <f t="shared" si="193"/>
        <v>检验费</v>
      </c>
    </row>
    <row r="579" spans="1:16">
      <c r="A579" t="str">
        <f>"梅毒螺旋体特异抗体测定ELISA法"</f>
        <v>梅毒螺旋体特异抗体测定ELISA法</v>
      </c>
      <c r="B579" t="str">
        <f>"250403053-d"</f>
        <v>250403053-d</v>
      </c>
      <c r="C579" t="str">
        <f t="shared" si="192"/>
        <v>检验</v>
      </c>
      <c r="D579" t="str">
        <f>"002504030530000"</f>
        <v>002504030530000</v>
      </c>
      <c r="G579">
        <v>25</v>
      </c>
      <c r="I579" t="str">
        <f t="shared" si="194"/>
        <v>项</v>
      </c>
      <c r="K579" t="str">
        <f>"MDLXTTYKTCDELISA"</f>
        <v>MDLXTTYKTCDELISA</v>
      </c>
      <c r="L579" t="str">
        <f>"SGJYWTNRWIPELISA"</f>
        <v>SGJYWTNRWIPELISA</v>
      </c>
      <c r="M579">
        <v>25</v>
      </c>
      <c r="N579" t="str">
        <f>"250403053-d"</f>
        <v>250403053-d</v>
      </c>
      <c r="O579" t="str">
        <f t="shared" si="190"/>
        <v>项</v>
      </c>
      <c r="P579" t="str">
        <f t="shared" si="193"/>
        <v>检验费</v>
      </c>
    </row>
    <row r="580" spans="1:16">
      <c r="A580" t="str">
        <f>"各类病原体DNA测定(含乙肝、丙肝）"</f>
        <v>各类病原体DNA测定(含乙肝、丙肝）</v>
      </c>
      <c r="B580" t="str">
        <f>"250403065-a"</f>
        <v>250403065-a</v>
      </c>
      <c r="C580" t="str">
        <f t="shared" si="192"/>
        <v>检验</v>
      </c>
      <c r="D580" t="str">
        <f>"002504030650000"</f>
        <v>002504030650000</v>
      </c>
      <c r="G580">
        <v>150</v>
      </c>
      <c r="I580" t="str">
        <f t="shared" si="194"/>
        <v>项</v>
      </c>
      <c r="K580" t="str">
        <f>"GLBYTDNACDHYGBG"</f>
        <v>GLBYTDNACDHYGBG</v>
      </c>
      <c r="L580" t="str">
        <f>"TOUDWDNAIPWNEGE"</f>
        <v>TOUDWDNAIPWNEGE</v>
      </c>
      <c r="M580">
        <v>150</v>
      </c>
      <c r="N580" t="str">
        <f>"250403065-a"</f>
        <v>250403065-a</v>
      </c>
      <c r="O580" t="str">
        <f t="shared" si="190"/>
        <v>项</v>
      </c>
      <c r="P580" t="str">
        <f t="shared" si="193"/>
        <v>检验费</v>
      </c>
    </row>
    <row r="581" spans="1:16">
      <c r="A581" t="str">
        <f>"人乳头瘤病毒分型检测"</f>
        <v>人乳头瘤病毒分型检测</v>
      </c>
      <c r="B581" t="str">
        <f>"250403066-b"</f>
        <v>250403066-b</v>
      </c>
      <c r="C581" t="str">
        <f t="shared" si="192"/>
        <v>检验</v>
      </c>
      <c r="D581" t="str">
        <f>"002504030660000"</f>
        <v>002504030660000</v>
      </c>
      <c r="G581">
        <v>15</v>
      </c>
      <c r="I581" t="str">
        <f>"次"</f>
        <v>次</v>
      </c>
      <c r="K581" t="str">
        <f>"RRTLBDFXJC"</f>
        <v>RRTLBDFXJC</v>
      </c>
      <c r="L581" t="str">
        <f>"WEUUUGWGSI"</f>
        <v>WEUUUGWGSI</v>
      </c>
      <c r="M581">
        <v>15</v>
      </c>
      <c r="N581" t="str">
        <f>"250403066-b"</f>
        <v>250403066-b</v>
      </c>
      <c r="O581" t="str">
        <f>"每个亚型"</f>
        <v>每个亚型</v>
      </c>
      <c r="P581" t="str">
        <f t="shared" si="193"/>
        <v>检验费</v>
      </c>
    </row>
    <row r="582" spans="1:16">
      <c r="A582" t="str">
        <f>"13碳尿素呼气试验"</f>
        <v>13碳尿素呼气试验</v>
      </c>
      <c r="B582">
        <v>250403079</v>
      </c>
      <c r="C582" t="str">
        <f>"其他"</f>
        <v>其他</v>
      </c>
      <c r="D582" t="str">
        <f>"002504030790000"</f>
        <v>002504030790000</v>
      </c>
      <c r="G582">
        <v>150</v>
      </c>
      <c r="I582" t="str">
        <f>"次"</f>
        <v>次</v>
      </c>
      <c r="K582" t="str">
        <f>"13TNSHQSY"</f>
        <v>13TNSHQSY</v>
      </c>
      <c r="L582" t="str">
        <f>"13DNGKRYC"</f>
        <v>13DNGKRYC</v>
      </c>
      <c r="M582">
        <v>200</v>
      </c>
      <c r="N582">
        <v>250403079</v>
      </c>
      <c r="O582" t="str">
        <f>"次"</f>
        <v>次</v>
      </c>
      <c r="P582" t="str">
        <f t="shared" si="193"/>
        <v>检验费</v>
      </c>
    </row>
    <row r="583" spans="1:16">
      <c r="A583" t="str">
        <f>"丙型肝炎核心抗原测定（ELISA法）"</f>
        <v>丙型肝炎核心抗原测定（ELISA法）</v>
      </c>
      <c r="B583">
        <v>250403082</v>
      </c>
      <c r="C583" t="str">
        <f t="shared" ref="C583:C625" si="195">"检验"</f>
        <v>检验</v>
      </c>
      <c r="D583" t="str">
        <f>"002504030840000"</f>
        <v>002504030840000</v>
      </c>
      <c r="G583">
        <v>65</v>
      </c>
      <c r="I583" t="str">
        <f t="shared" ref="I583:I587" si="196">"项"</f>
        <v>项</v>
      </c>
      <c r="K583" t="str">
        <f>"BXGYHXKYCDELISAF"</f>
        <v>BXGYHXKYCDELISAF</v>
      </c>
      <c r="L583" t="str">
        <f>"GGEOSNRDIPELISAI"</f>
        <v>GGEOSNRDIPELISAI</v>
      </c>
      <c r="M583">
        <v>65</v>
      </c>
      <c r="N583">
        <v>250403082</v>
      </c>
      <c r="O583" t="str">
        <f t="shared" ref="O583:O587" si="197">"项"</f>
        <v>项</v>
      </c>
      <c r="P583" t="str">
        <f t="shared" si="193"/>
        <v>检验费</v>
      </c>
    </row>
    <row r="584" spans="1:16">
      <c r="A584" t="str">
        <f>"呼吸道感染病原体IgM抗体检测"</f>
        <v>呼吸道感染病原体IgM抗体检测</v>
      </c>
      <c r="B584">
        <v>250403083</v>
      </c>
      <c r="C584" t="str">
        <f t="shared" si="195"/>
        <v>检验</v>
      </c>
      <c r="G584">
        <v>45</v>
      </c>
      <c r="I584" t="str">
        <f t="shared" si="196"/>
        <v>项</v>
      </c>
      <c r="K584" t="str">
        <f>"HXDGRBYTIGMKTJC"</f>
        <v>HXDGRBYTIGMKTJC</v>
      </c>
      <c r="L584" t="str">
        <f>"KKUDIUDWigmRWSI"</f>
        <v>KKUDIUDWigmRWSI</v>
      </c>
      <c r="M584">
        <v>45</v>
      </c>
      <c r="N584">
        <v>250403083</v>
      </c>
      <c r="O584" t="str">
        <f t="shared" si="197"/>
        <v>项</v>
      </c>
      <c r="P584" t="str">
        <f t="shared" si="193"/>
        <v>检验费</v>
      </c>
    </row>
    <row r="585" spans="1:16">
      <c r="A585" t="str">
        <f>"胃泌素-17检测"</f>
        <v>胃泌素-17检测</v>
      </c>
      <c r="B585">
        <v>250403086</v>
      </c>
      <c r="C585" t="str">
        <f t="shared" si="195"/>
        <v>检验</v>
      </c>
      <c r="G585">
        <v>100</v>
      </c>
      <c r="I585" t="str">
        <f t="shared" si="196"/>
        <v>项</v>
      </c>
      <c r="K585" t="str">
        <f>"WMS17JC"</f>
        <v>WMS17JC</v>
      </c>
      <c r="L585" t="str">
        <f>"LIG17SI"</f>
        <v>LIG17SI</v>
      </c>
      <c r="M585">
        <v>105</v>
      </c>
      <c r="N585">
        <v>250403086</v>
      </c>
      <c r="O585" t="str">
        <f t="shared" si="197"/>
        <v>项</v>
      </c>
      <c r="P585" t="str">
        <f t="shared" si="193"/>
        <v>检验费</v>
      </c>
    </row>
    <row r="586" spans="1:16">
      <c r="A586" t="str">
        <f>"新型冠状病毒抗体检测"</f>
        <v>新型冠状病毒抗体检测</v>
      </c>
      <c r="B586">
        <v>250403091</v>
      </c>
      <c r="C586" t="str">
        <f t="shared" si="195"/>
        <v>检验</v>
      </c>
      <c r="D586" t="str">
        <f>"002504030860000"</f>
        <v>002504030860000</v>
      </c>
      <c r="G586">
        <v>15</v>
      </c>
      <c r="I586" t="str">
        <f t="shared" si="196"/>
        <v>项</v>
      </c>
      <c r="K586" t="str">
        <f>"XXGZBDKTJC"</f>
        <v>XXGZBDKTJC</v>
      </c>
      <c r="L586" t="str">
        <f>"UGPUUGRWSI"</f>
        <v>UGPUUGRWSI</v>
      </c>
      <c r="M586">
        <v>40</v>
      </c>
      <c r="N586">
        <v>250403091</v>
      </c>
      <c r="O586" t="str">
        <f t="shared" si="197"/>
        <v>项</v>
      </c>
      <c r="P586" t="str">
        <f t="shared" si="193"/>
        <v>检验费</v>
      </c>
    </row>
    <row r="587" spans="1:16">
      <c r="A587" t="str">
        <f>"新型冠状病毒核酸检测"</f>
        <v>新型冠状病毒核酸检测</v>
      </c>
      <c r="B587">
        <v>250403092</v>
      </c>
      <c r="C587" t="str">
        <f t="shared" si="195"/>
        <v>检验</v>
      </c>
      <c r="D587" t="str">
        <f>"002504030850000"</f>
        <v>002504030850000</v>
      </c>
      <c r="G587">
        <v>16</v>
      </c>
      <c r="I587" t="str">
        <f t="shared" si="196"/>
        <v>项</v>
      </c>
      <c r="K587" t="str">
        <f>"XXGZBDHSJC"</f>
        <v>XXGZBDHSJC</v>
      </c>
      <c r="L587" t="str">
        <f>"UGPUUGSSSI"</f>
        <v>UGPUUGSSSI</v>
      </c>
      <c r="M587">
        <v>120</v>
      </c>
      <c r="N587">
        <v>250403092</v>
      </c>
      <c r="O587" t="str">
        <f t="shared" si="197"/>
        <v>项</v>
      </c>
      <c r="P587" t="str">
        <f t="shared" si="193"/>
        <v>检验费</v>
      </c>
    </row>
    <row r="588" spans="1:16">
      <c r="A588" t="str">
        <f>"新型冠状病毒核酸检测（混检）"</f>
        <v>新型冠状病毒核酸检测（混检）</v>
      </c>
      <c r="B588" t="str">
        <f>"250403092-a"</f>
        <v>250403092-a</v>
      </c>
      <c r="C588" t="str">
        <f t="shared" si="195"/>
        <v>检验</v>
      </c>
      <c r="D588" t="str">
        <f>"002504030850000"</f>
        <v>002504030850000</v>
      </c>
      <c r="G588">
        <v>4</v>
      </c>
      <c r="I588" t="str">
        <f>"人次"</f>
        <v>人次</v>
      </c>
      <c r="K588" t="str">
        <f>"XXGZBDHSJCHJ"</f>
        <v>XXGZBDHSJCHJ</v>
      </c>
      <c r="L588" t="str">
        <f>"UGPUUGSSSIIS"</f>
        <v>UGPUUGSSSIIS</v>
      </c>
      <c r="M588">
        <v>20</v>
      </c>
      <c r="N588" t="str">
        <f>"250403092-a"</f>
        <v>250403092-a</v>
      </c>
      <c r="O588" t="str">
        <f>"次"</f>
        <v>次</v>
      </c>
      <c r="P588" t="str">
        <f t="shared" si="193"/>
        <v>检验费</v>
      </c>
    </row>
    <row r="589" spans="1:16">
      <c r="A589" t="str">
        <f>"癌胚抗原测定(CEA)各种免疫学方法"</f>
        <v>癌胚抗原测定(CEA)各种免疫学方法</v>
      </c>
      <c r="B589">
        <v>250404001</v>
      </c>
      <c r="C589" t="str">
        <f t="shared" si="195"/>
        <v>检验</v>
      </c>
      <c r="D589" t="str">
        <f>"002504040010000"</f>
        <v>002504040010000</v>
      </c>
      <c r="G589">
        <v>15</v>
      </c>
      <c r="I589" t="str">
        <f t="shared" ref="I589:I596" si="198">"项"</f>
        <v>项</v>
      </c>
      <c r="K589" t="str">
        <f>"APKYCD(CEA)GZMYXFF"</f>
        <v>APKYCD(CEA)GZMYXFF</v>
      </c>
      <c r="L589" t="str">
        <f>"UERDIP(cea)TTQUIYI"</f>
        <v>UERDIP(cea)TTQUIYI</v>
      </c>
      <c r="M589">
        <v>15</v>
      </c>
      <c r="N589">
        <v>250404001</v>
      </c>
      <c r="O589" t="str">
        <f t="shared" ref="O589:O596" si="199">"项"</f>
        <v>项</v>
      </c>
      <c r="P589" t="str">
        <f t="shared" si="193"/>
        <v>检验费</v>
      </c>
    </row>
    <row r="590" spans="1:16">
      <c r="A590" t="str">
        <f>"(CEA)癌胚抗原测定"</f>
        <v>(CEA)癌胚抗原测定</v>
      </c>
      <c r="B590" t="str">
        <f>"250404001-a"</f>
        <v>250404001-a</v>
      </c>
      <c r="C590" t="str">
        <f t="shared" si="195"/>
        <v>检验</v>
      </c>
      <c r="D590" t="str">
        <f>"002504040010000"</f>
        <v>002504040010000</v>
      </c>
      <c r="G590">
        <v>35</v>
      </c>
      <c r="I590" t="str">
        <f t="shared" si="198"/>
        <v>项</v>
      </c>
      <c r="K590" t="str">
        <f>"(CEA)APKYCD"</f>
        <v>(CEA)APKYCD</v>
      </c>
      <c r="L590" t="str">
        <f>"CEAUERDIP"</f>
        <v>CEAUERDIP</v>
      </c>
      <c r="M590">
        <v>45</v>
      </c>
      <c r="N590" t="str">
        <f>"250404001-a"</f>
        <v>250404001-a</v>
      </c>
      <c r="O590" t="str">
        <f t="shared" si="199"/>
        <v>项</v>
      </c>
      <c r="P590" t="str">
        <f t="shared" si="193"/>
        <v>检验费</v>
      </c>
    </row>
    <row r="591" spans="1:16">
      <c r="A591" t="str">
        <f>"甲胎蛋白测定(AFP)各种免疫学方法"</f>
        <v>甲胎蛋白测定(AFP)各种免疫学方法</v>
      </c>
      <c r="B591">
        <v>250404002</v>
      </c>
      <c r="C591" t="str">
        <f t="shared" si="195"/>
        <v>检验</v>
      </c>
      <c r="D591" t="str">
        <f>"002504040020000"</f>
        <v>002504040020000</v>
      </c>
      <c r="G591">
        <v>15</v>
      </c>
      <c r="I591" t="str">
        <f t="shared" si="198"/>
        <v>项</v>
      </c>
      <c r="K591" t="str">
        <f>"JTDBCD(AFP)GZMYXFF"</f>
        <v>JTDBCD(AFP)GZMYXFF</v>
      </c>
      <c r="L591" t="str">
        <f>"LENRIP(afp)TTQUIYI"</f>
        <v>LENRIP(afp)TTQUIYI</v>
      </c>
      <c r="M591">
        <v>15</v>
      </c>
      <c r="N591">
        <v>250404002</v>
      </c>
      <c r="O591" t="str">
        <f t="shared" si="199"/>
        <v>项</v>
      </c>
      <c r="P591" t="str">
        <f t="shared" si="193"/>
        <v>检验费</v>
      </c>
    </row>
    <row r="592" spans="1:16">
      <c r="A592" t="str">
        <f>"(AFP)甲胎蛋白测定"</f>
        <v>(AFP)甲胎蛋白测定</v>
      </c>
      <c r="B592" t="str">
        <f>"250404002-a"</f>
        <v>250404002-a</v>
      </c>
      <c r="C592" t="str">
        <f t="shared" si="195"/>
        <v>检验</v>
      </c>
      <c r="D592" t="str">
        <f>"002504040020000"</f>
        <v>002504040020000</v>
      </c>
      <c r="G592">
        <v>35</v>
      </c>
      <c r="I592" t="str">
        <f t="shared" si="198"/>
        <v>项</v>
      </c>
      <c r="K592" t="str">
        <f>"(AFP)JTDBCD"</f>
        <v>(AFP)JTDBCD</v>
      </c>
      <c r="L592" t="str">
        <f>"AFPLENRIP"</f>
        <v>AFPLENRIP</v>
      </c>
      <c r="M592">
        <v>40</v>
      </c>
      <c r="N592" t="str">
        <f>"250404002-a"</f>
        <v>250404002-a</v>
      </c>
      <c r="O592" t="str">
        <f t="shared" si="199"/>
        <v>项</v>
      </c>
      <c r="P592" t="str">
        <f t="shared" si="193"/>
        <v>检验费</v>
      </c>
    </row>
    <row r="593" spans="1:16">
      <c r="A593" t="str">
        <f>"总前列腺特异性抗原测定(TPSA)"</f>
        <v>总前列腺特异性抗原测定(TPSA)</v>
      </c>
      <c r="B593" t="str">
        <f>"250404005-a"</f>
        <v>250404005-a</v>
      </c>
      <c r="C593" t="str">
        <f t="shared" si="195"/>
        <v>检验</v>
      </c>
      <c r="D593" t="str">
        <f>"002504040050000"</f>
        <v>002504040050000</v>
      </c>
      <c r="G593">
        <v>50</v>
      </c>
      <c r="I593" t="str">
        <f t="shared" si="198"/>
        <v>项</v>
      </c>
      <c r="K593" t="str">
        <f>"ZQLXTYXKYCDTPSA"</f>
        <v>ZQLXTYXKYCDTPSA</v>
      </c>
      <c r="L593" t="str">
        <f>"UUGETNNRDIPTPSA"</f>
        <v>UUGETNNRDIPTPSA</v>
      </c>
      <c r="M593">
        <v>65</v>
      </c>
      <c r="N593" t="str">
        <f>"250404005-a"</f>
        <v>250404005-a</v>
      </c>
      <c r="O593" t="str">
        <f t="shared" si="199"/>
        <v>项</v>
      </c>
      <c r="P593" t="str">
        <f t="shared" si="193"/>
        <v>检验费</v>
      </c>
    </row>
    <row r="594" spans="1:16">
      <c r="A594" t="str">
        <f>"游离前列腺特异性抗原测定(FPSA)"</f>
        <v>游离前列腺特异性抗原测定(FPSA)</v>
      </c>
      <c r="B594" t="str">
        <f>"250404006-a"</f>
        <v>250404006-a</v>
      </c>
      <c r="C594" t="str">
        <f t="shared" si="195"/>
        <v>检验</v>
      </c>
      <c r="D594" t="str">
        <f>"002504040060000"</f>
        <v>002504040060000</v>
      </c>
      <c r="G594">
        <v>50</v>
      </c>
      <c r="I594" t="str">
        <f t="shared" si="198"/>
        <v>项</v>
      </c>
      <c r="K594" t="str">
        <f>"YLQLXTYXKY(FPSA)"</f>
        <v>YLQLXTYXKY(FPSA)</v>
      </c>
      <c r="L594" t="str">
        <f>"IYUGETNNRDIPFPSA"</f>
        <v>IYUGETNNRDIPFPSA</v>
      </c>
      <c r="M594">
        <v>65</v>
      </c>
      <c r="N594" t="str">
        <f>"250404006-a"</f>
        <v>250404006-a</v>
      </c>
      <c r="O594" t="str">
        <f t="shared" si="199"/>
        <v>项</v>
      </c>
      <c r="P594" t="str">
        <f t="shared" si="193"/>
        <v>检验费</v>
      </c>
    </row>
    <row r="595" spans="1:16">
      <c r="A595" t="str">
        <f>"前列腺酸性磷酸酶测定(PAP)"</f>
        <v>前列腺酸性磷酸酶测定(PAP)</v>
      </c>
      <c r="B595" t="str">
        <f>"250404008-a"</f>
        <v>250404008-a</v>
      </c>
      <c r="C595" t="str">
        <f t="shared" si="195"/>
        <v>检验</v>
      </c>
      <c r="D595" t="str">
        <f>"002504040080000"</f>
        <v>002504040080000</v>
      </c>
      <c r="G595">
        <v>65</v>
      </c>
      <c r="I595" t="str">
        <f t="shared" si="198"/>
        <v>项</v>
      </c>
      <c r="K595" t="str">
        <f>"QLXSXLSMCD(PAP)"</f>
        <v>QLXSXLSMCD(PAP)</v>
      </c>
      <c r="L595" t="str">
        <f>"UGESNDSSIP(pap)"</f>
        <v>UGESNDSSIP(pap)</v>
      </c>
      <c r="M595">
        <v>65</v>
      </c>
      <c r="N595" t="str">
        <f>"250404008-a"</f>
        <v>250404008-a</v>
      </c>
      <c r="O595" t="str">
        <f t="shared" si="199"/>
        <v>项</v>
      </c>
      <c r="P595" t="str">
        <f t="shared" si="193"/>
        <v>检验费</v>
      </c>
    </row>
    <row r="596" spans="1:16">
      <c r="A596" t="str">
        <f>"神经元特异性烯醇化酶测定(NSE)"</f>
        <v>神经元特异性烯醇化酶测定(NSE)</v>
      </c>
      <c r="B596" t="str">
        <f>"250404009-a"</f>
        <v>250404009-a</v>
      </c>
      <c r="C596" t="str">
        <f t="shared" si="195"/>
        <v>检验</v>
      </c>
      <c r="D596" t="str">
        <f>"002504040090000"</f>
        <v>002504040090000</v>
      </c>
      <c r="G596">
        <v>50</v>
      </c>
      <c r="I596" t="str">
        <f t="shared" si="198"/>
        <v>项</v>
      </c>
      <c r="K596" t="str">
        <f>"SJYTYXXCHMCD(NSE)"</f>
        <v>SJYTYXXCHMCD(NSE)</v>
      </c>
      <c r="L596" t="str">
        <f>"PXFTNNOSWSIP(nse)"</f>
        <v>PXFTNNOSWSIP(nse)</v>
      </c>
      <c r="M596">
        <v>65</v>
      </c>
      <c r="N596" t="str">
        <f>"250404009-a"</f>
        <v>250404009-a</v>
      </c>
      <c r="O596" t="str">
        <f t="shared" si="199"/>
        <v>项</v>
      </c>
      <c r="P596" t="str">
        <f t="shared" si="193"/>
        <v>检验费</v>
      </c>
    </row>
    <row r="597" spans="1:16">
      <c r="A597" t="str">
        <f>"细胞角蛋白19片段测定(CYFRA21-1)（化学发光法、荧光免疫法）"</f>
        <v>细胞角蛋白19片段测定(CYFRA21-1)（化学发光法、荧光免疫法）</v>
      </c>
      <c r="B597" t="str">
        <f>"250404010-a"</f>
        <v>250404010-a</v>
      </c>
      <c r="C597" t="str">
        <f t="shared" si="195"/>
        <v>检验</v>
      </c>
      <c r="D597" t="str">
        <f>"002504040100000"</f>
        <v>002504040100000</v>
      </c>
      <c r="G597">
        <v>50</v>
      </c>
      <c r="I597" t="str">
        <f>"-"</f>
        <v>-</v>
      </c>
      <c r="K597" t="str">
        <f>"XBJDB19PDCDCYFRA"</f>
        <v>XBJDB19PDCDCYFRA</v>
      </c>
      <c r="L597" t="str">
        <f>"XEQNR19TWIPCYFRA"</f>
        <v>XEQNR19TWIPCYFRA</v>
      </c>
      <c r="M597">
        <v>65</v>
      </c>
      <c r="N597" t="str">
        <f>"250404010-a"</f>
        <v>250404010-a</v>
      </c>
      <c r="O597" t="str">
        <f>"次"</f>
        <v>次</v>
      </c>
      <c r="P597" t="str">
        <f t="shared" si="193"/>
        <v>检验费</v>
      </c>
    </row>
    <row r="598" spans="1:16">
      <c r="A598" t="str">
        <f>"糖类抗原测定CA125(化学发光法、荧光免疫法)"</f>
        <v>糖类抗原测定CA125(化学发光法、荧光免疫法)</v>
      </c>
      <c r="B598" t="str">
        <f>"250404011-a"</f>
        <v>250404011-a</v>
      </c>
      <c r="C598" t="str">
        <f t="shared" si="195"/>
        <v>检验</v>
      </c>
      <c r="D598" t="str">
        <f t="shared" ref="D598:D605" si="200">"002504040110000"</f>
        <v>002504040110000</v>
      </c>
      <c r="G598">
        <v>50</v>
      </c>
      <c r="I598" t="str">
        <f t="shared" ref="I598:I601" si="201">"项"</f>
        <v>项</v>
      </c>
      <c r="K598" t="str">
        <f>"TLKYCDCA125HXFGF"</f>
        <v>TLKYCDCA125HXFGF</v>
      </c>
      <c r="L598" t="str">
        <f>"OORDIPCA125WINII"</f>
        <v>OORDIPCA125WINII</v>
      </c>
      <c r="M598">
        <v>65</v>
      </c>
      <c r="N598" t="str">
        <f t="shared" ref="N598:N605" si="202">"250404011-a"</f>
        <v>250404011-a</v>
      </c>
      <c r="O598" t="str">
        <f t="shared" ref="O598:O601" si="203">"项"</f>
        <v>项</v>
      </c>
      <c r="P598" t="str">
        <f t="shared" si="193"/>
        <v>检验费</v>
      </c>
    </row>
    <row r="599" spans="1:16">
      <c r="A599" t="str">
        <f>"糖类抗原测定CA19-9(化学发光法、荧光免疫法)"</f>
        <v>糖类抗原测定CA19-9(化学发光法、荧光免疫法)</v>
      </c>
      <c r="B599" t="str">
        <f>"250404011-a-1"</f>
        <v>250404011-a-1</v>
      </c>
      <c r="C599" t="str">
        <f t="shared" si="195"/>
        <v>检验</v>
      </c>
      <c r="D599" t="str">
        <f t="shared" si="200"/>
        <v>002504040110000</v>
      </c>
      <c r="G599">
        <v>50</v>
      </c>
      <c r="I599" t="str">
        <f t="shared" si="201"/>
        <v>项</v>
      </c>
      <c r="K599" t="str">
        <f>"TLKYCDCA199HXFGF"</f>
        <v>TLKYCDCA199HXFGF</v>
      </c>
      <c r="L599" t="str">
        <f>"OORDIPCA199WINII"</f>
        <v>OORDIPCA199WINII</v>
      </c>
      <c r="M599">
        <v>65</v>
      </c>
      <c r="N599" t="str">
        <f t="shared" si="202"/>
        <v>250404011-a</v>
      </c>
      <c r="O599" t="str">
        <f t="shared" si="203"/>
        <v>项</v>
      </c>
      <c r="P599" t="str">
        <f t="shared" si="193"/>
        <v>检验费</v>
      </c>
    </row>
    <row r="600" spans="1:16">
      <c r="A600" t="str">
        <f>"糖类抗原测定CA15-3(化学发光法、荧光免疫法)"</f>
        <v>糖类抗原测定CA15-3(化学发光法、荧光免疫法)</v>
      </c>
      <c r="B600" t="str">
        <f>"250404011-a-2"</f>
        <v>250404011-a-2</v>
      </c>
      <c r="C600" t="str">
        <f t="shared" si="195"/>
        <v>检验</v>
      </c>
      <c r="D600" t="str">
        <f t="shared" si="200"/>
        <v>002504040110000</v>
      </c>
      <c r="G600">
        <v>50</v>
      </c>
      <c r="I600" t="str">
        <f t="shared" si="201"/>
        <v>项</v>
      </c>
      <c r="K600" t="str">
        <f>"TLKYCDCA153HXFGF"</f>
        <v>TLKYCDCA153HXFGF</v>
      </c>
      <c r="L600" t="str">
        <f>"OORDIPCA153WINII"</f>
        <v>OORDIPCA153WINII</v>
      </c>
      <c r="M600">
        <v>65</v>
      </c>
      <c r="N600" t="str">
        <f t="shared" si="202"/>
        <v>250404011-a</v>
      </c>
      <c r="O600" t="str">
        <f t="shared" si="203"/>
        <v>项</v>
      </c>
      <c r="P600" t="str">
        <f t="shared" si="193"/>
        <v>检验费</v>
      </c>
    </row>
    <row r="601" spans="1:16">
      <c r="A601" t="str">
        <f>"糖类抗原测定CA72-4(化学发光法、荧光免疫法)"</f>
        <v>糖类抗原测定CA72-4(化学发光法、荧光免疫法)</v>
      </c>
      <c r="B601" t="str">
        <f>"250404011-a-3"</f>
        <v>250404011-a-3</v>
      </c>
      <c r="C601" t="str">
        <f t="shared" si="195"/>
        <v>检验</v>
      </c>
      <c r="D601" t="str">
        <f t="shared" si="200"/>
        <v>002504040110000</v>
      </c>
      <c r="G601">
        <v>50</v>
      </c>
      <c r="I601" t="str">
        <f t="shared" si="201"/>
        <v>项</v>
      </c>
      <c r="K601" t="str">
        <f>"TLKYCDCA724HXFGF"</f>
        <v>TLKYCDCA724HXFGF</v>
      </c>
      <c r="L601" t="str">
        <f>"OORDIPCA724WINII"</f>
        <v>OORDIPCA724WINII</v>
      </c>
      <c r="M601">
        <v>65</v>
      </c>
      <c r="N601" t="str">
        <f t="shared" si="202"/>
        <v>250404011-a</v>
      </c>
      <c r="O601" t="str">
        <f t="shared" si="203"/>
        <v>项</v>
      </c>
      <c r="P601" t="str">
        <f t="shared" si="193"/>
        <v>检验费</v>
      </c>
    </row>
    <row r="602" spans="1:16">
      <c r="A602" t="str">
        <f>"糖类抗原测定CA24-2(化学发光法、荧光免疫法)"</f>
        <v>糖类抗原测定CA24-2(化学发光法、荧光免疫法)</v>
      </c>
      <c r="B602" t="str">
        <f>"250404011-a-4"</f>
        <v>250404011-a-4</v>
      </c>
      <c r="C602" t="str">
        <f t="shared" si="195"/>
        <v>检验</v>
      </c>
      <c r="D602" t="str">
        <f t="shared" si="200"/>
        <v>002504040110000</v>
      </c>
      <c r="G602">
        <v>50</v>
      </c>
      <c r="I602" t="str">
        <f t="shared" ref="I602:I605" si="204">"/"</f>
        <v>/</v>
      </c>
      <c r="K602" t="str">
        <f>"TLKYCDCA242HXFGF"</f>
        <v>TLKYCDCA242HXFGF</v>
      </c>
      <c r="L602" t="str">
        <f>"OORDIPCA242WINII"</f>
        <v>OORDIPCA242WINII</v>
      </c>
      <c r="M602">
        <v>65</v>
      </c>
      <c r="N602" t="str">
        <f t="shared" si="202"/>
        <v>250404011-a</v>
      </c>
      <c r="O602" t="str">
        <f t="shared" ref="O602:O605" si="205">"次"</f>
        <v>次</v>
      </c>
      <c r="P602" t="str">
        <f t="shared" si="193"/>
        <v>检验费</v>
      </c>
    </row>
    <row r="603" spans="1:16">
      <c r="A603" t="str">
        <f>"糖类抗原测定CA130(化学发光法、荧光免疫法)"</f>
        <v>糖类抗原测定CA130(化学发光法、荧光免疫法)</v>
      </c>
      <c r="B603" t="str">
        <f>"250404011-a-5"</f>
        <v>250404011-a-5</v>
      </c>
      <c r="C603" t="str">
        <f t="shared" si="195"/>
        <v>检验</v>
      </c>
      <c r="D603" t="str">
        <f t="shared" si="200"/>
        <v>002504040110000</v>
      </c>
      <c r="G603">
        <v>50</v>
      </c>
      <c r="I603" t="str">
        <f t="shared" si="204"/>
        <v>/</v>
      </c>
      <c r="K603" t="str">
        <f>"TLKYCDCA130HXFGF"</f>
        <v>TLKYCDCA130HXFGF</v>
      </c>
      <c r="L603" t="str">
        <f>"OORDIPCA130WINII"</f>
        <v>OORDIPCA130WINII</v>
      </c>
      <c r="M603">
        <v>65</v>
      </c>
      <c r="N603" t="str">
        <f t="shared" si="202"/>
        <v>250404011-a</v>
      </c>
      <c r="O603" t="str">
        <f t="shared" si="205"/>
        <v>次</v>
      </c>
      <c r="P603" t="str">
        <f t="shared" si="193"/>
        <v>检验费</v>
      </c>
    </row>
    <row r="604" spans="1:16">
      <c r="A604" t="str">
        <f>"糖类抗原测定CA-50(化学发光法、荧光免疫法)"</f>
        <v>糖类抗原测定CA-50(化学发光法、荧光免疫法)</v>
      </c>
      <c r="B604" t="str">
        <f>"250404011-a-6"</f>
        <v>250404011-a-6</v>
      </c>
      <c r="C604" t="str">
        <f t="shared" si="195"/>
        <v>检验</v>
      </c>
      <c r="D604" t="str">
        <f t="shared" si="200"/>
        <v>002504040110000</v>
      </c>
      <c r="G604">
        <v>50</v>
      </c>
      <c r="I604" t="str">
        <f t="shared" si="204"/>
        <v>/</v>
      </c>
      <c r="K604" t="str">
        <f>"TLKYCDCA50HXFGFY"</f>
        <v>TLKYCDCA50HXFGFY</v>
      </c>
      <c r="L604" t="str">
        <f>"OORDIPCA50WINIIA"</f>
        <v>OORDIPCA50WINIIA</v>
      </c>
      <c r="M604">
        <v>65</v>
      </c>
      <c r="N604" t="str">
        <f t="shared" si="202"/>
        <v>250404011-a</v>
      </c>
      <c r="O604" t="str">
        <f t="shared" si="205"/>
        <v>次</v>
      </c>
      <c r="P604" t="str">
        <f t="shared" si="193"/>
        <v>检验费</v>
      </c>
    </row>
    <row r="605" spans="1:16">
      <c r="A605" t="str">
        <f>"糖类抗原测定CA-29(化学发光法、荧光免疫法)"</f>
        <v>糖类抗原测定CA-29(化学发光法、荧光免疫法)</v>
      </c>
      <c r="B605" t="str">
        <f>"250404011-a-7"</f>
        <v>250404011-a-7</v>
      </c>
      <c r="C605" t="str">
        <f t="shared" si="195"/>
        <v>检验</v>
      </c>
      <c r="D605" t="str">
        <f t="shared" si="200"/>
        <v>002504040110000</v>
      </c>
      <c r="G605">
        <v>50</v>
      </c>
      <c r="I605" t="str">
        <f t="shared" si="204"/>
        <v>/</v>
      </c>
      <c r="K605" t="str">
        <f>"TLKYCDCA29HXFGFY"</f>
        <v>TLKYCDCA29HXFGFY</v>
      </c>
      <c r="L605" t="str">
        <f>"OORDIPCA29WINIIA"</f>
        <v>OORDIPCA29WINIIA</v>
      </c>
      <c r="M605">
        <v>65</v>
      </c>
      <c r="N605" t="str">
        <f t="shared" si="202"/>
        <v>250404011-a</v>
      </c>
      <c r="O605" t="str">
        <f t="shared" si="205"/>
        <v>次</v>
      </c>
      <c r="P605" t="str">
        <f t="shared" si="193"/>
        <v>检验费</v>
      </c>
    </row>
    <row r="606" spans="1:16">
      <c r="A606" t="str">
        <f>"鳞状细胞癌相关抗原测定"</f>
        <v>鳞状细胞癌相关抗原测定</v>
      </c>
      <c r="B606" t="str">
        <f>"250404012-a"</f>
        <v>250404012-a</v>
      </c>
      <c r="C606" t="str">
        <f t="shared" si="195"/>
        <v>检验</v>
      </c>
      <c r="D606" t="str">
        <f>"002504040120000"</f>
        <v>002504040120000</v>
      </c>
      <c r="G606">
        <v>50</v>
      </c>
      <c r="I606">
        <v>1</v>
      </c>
      <c r="K606" t="str">
        <f>"LZXBAXGKYCD"</f>
        <v>LZXBAXGKYCD</v>
      </c>
      <c r="L606" t="str">
        <f>"QUXEUSURDIP"</f>
        <v>QUXEUSURDIP</v>
      </c>
      <c r="M606">
        <v>65</v>
      </c>
      <c r="N606" t="str">
        <f>"250404012-a"</f>
        <v>250404012-a</v>
      </c>
      <c r="O606" t="str">
        <f t="shared" ref="O606:O608" si="206">"项"</f>
        <v>项</v>
      </c>
      <c r="P606" t="str">
        <f t="shared" si="193"/>
        <v>检验费</v>
      </c>
    </row>
    <row r="607" spans="1:16">
      <c r="A607" t="str">
        <f>"铁蛋白测定各种发光法，定量测定"</f>
        <v>铁蛋白测定各种发光法，定量测定</v>
      </c>
      <c r="B607" t="str">
        <f>"250404015-a"</f>
        <v>250404015-a</v>
      </c>
      <c r="C607" t="str">
        <f t="shared" si="195"/>
        <v>检验</v>
      </c>
      <c r="D607" t="str">
        <f>"002504040150000"</f>
        <v>002504040150000</v>
      </c>
      <c r="G607">
        <v>34</v>
      </c>
      <c r="I607" t="str">
        <f t="shared" ref="I607:I615" si="207">"项"</f>
        <v>项</v>
      </c>
      <c r="K607" t="str">
        <f>"TDBCDGZFGFZDLCD"</f>
        <v>TDBCDGZFGFZDLCD</v>
      </c>
      <c r="L607" t="str">
        <f>"QNRIPTTNIIPJIP"</f>
        <v>QNRIPTTNIIPJIP</v>
      </c>
      <c r="M607">
        <v>55</v>
      </c>
      <c r="N607" t="str">
        <f>"250404015-a"</f>
        <v>250404015-a</v>
      </c>
      <c r="O607" t="str">
        <f t="shared" si="206"/>
        <v>项</v>
      </c>
      <c r="P607" t="str">
        <f t="shared" si="193"/>
        <v>检验费</v>
      </c>
    </row>
    <row r="608" spans="1:16">
      <c r="A608" t="str">
        <f>"恶性肿瘤特异生长因子（TSGF）测定"</f>
        <v>恶性肿瘤特异生长因子（TSGF）测定</v>
      </c>
      <c r="B608">
        <v>250404017</v>
      </c>
      <c r="C608" t="str">
        <f t="shared" si="195"/>
        <v>检验</v>
      </c>
      <c r="D608" t="str">
        <f>"002504040170000"</f>
        <v>002504040170000</v>
      </c>
      <c r="G608">
        <v>50</v>
      </c>
      <c r="I608" t="str">
        <f t="shared" si="207"/>
        <v>项</v>
      </c>
      <c r="K608" t="str">
        <f>"EXZLTYSCYZZTSGFZCD"</f>
        <v>EXZLTYSCYZZTSGFZCD</v>
      </c>
      <c r="L608" t="str">
        <f>"GNEUTNTTLBtsgfIP"</f>
        <v>GNEUTNTTLBtsgfIP</v>
      </c>
      <c r="M608">
        <v>65</v>
      </c>
      <c r="N608">
        <v>250404017</v>
      </c>
      <c r="O608" t="str">
        <f t="shared" si="206"/>
        <v>项</v>
      </c>
      <c r="P608" t="str">
        <f t="shared" si="193"/>
        <v>检验费</v>
      </c>
    </row>
    <row r="609" spans="1:16">
      <c r="A609" t="str">
        <f>"血清胃蛋白酶原Ⅱ测定（荧光免疫法）"</f>
        <v>血清胃蛋白酶原Ⅱ测定（荧光免疫法）</v>
      </c>
      <c r="B609" t="str">
        <f>"250404028-a"</f>
        <v>250404028-a</v>
      </c>
      <c r="C609" t="str">
        <f t="shared" si="195"/>
        <v>检验</v>
      </c>
      <c r="G609">
        <v>55</v>
      </c>
      <c r="I609" t="str">
        <f>"次"</f>
        <v>次</v>
      </c>
      <c r="K609" t="str">
        <f>"XQWDBMYCDYGMYF"</f>
        <v>XQWDBMYCDYGMYF</v>
      </c>
      <c r="L609" t="str">
        <f>"TILNRSDIPAIQUI"</f>
        <v>TILNRSDIPAIQUI</v>
      </c>
      <c r="M609">
        <v>55</v>
      </c>
      <c r="N609" t="str">
        <f>"250404028-a"</f>
        <v>250404028-a</v>
      </c>
      <c r="O609" t="str">
        <f>"次"</f>
        <v>次</v>
      </c>
      <c r="P609" t="str">
        <f t="shared" si="193"/>
        <v>检验费</v>
      </c>
    </row>
    <row r="610" spans="1:16">
      <c r="A610" t="str">
        <f>"血清胃蛋白酶原Ⅰ测定（荧光免疫法）"</f>
        <v>血清胃蛋白酶原Ⅰ测定（荧光免疫法）</v>
      </c>
      <c r="B610" t="str">
        <f>"250404028-a-1"</f>
        <v>250404028-a-1</v>
      </c>
      <c r="C610" t="str">
        <f t="shared" si="195"/>
        <v>检验</v>
      </c>
      <c r="G610">
        <v>55</v>
      </c>
      <c r="I610" t="str">
        <f>"次"</f>
        <v>次</v>
      </c>
      <c r="K610" t="str">
        <f>"XQWDBMYCDYGMYF"</f>
        <v>XQWDBMYCDYGMYF</v>
      </c>
      <c r="L610" t="str">
        <f>"TILNRSDIPAIQUI"</f>
        <v>TILNRSDIPAIQUI</v>
      </c>
      <c r="M610">
        <v>55</v>
      </c>
      <c r="N610" t="str">
        <f>"250404028-a"</f>
        <v>250404028-a</v>
      </c>
      <c r="O610" t="str">
        <f>"次"</f>
        <v>次</v>
      </c>
      <c r="P610" t="str">
        <f t="shared" si="193"/>
        <v>检验费</v>
      </c>
    </row>
    <row r="611" spans="1:16">
      <c r="A611" t="str">
        <f>"总IgE测定(各种发光法，定量测定)"</f>
        <v>总IgE测定(各种发光法，定量测定)</v>
      </c>
      <c r="B611" t="str">
        <f>"250405001-a"</f>
        <v>250405001-a</v>
      </c>
      <c r="C611" t="str">
        <f t="shared" si="195"/>
        <v>检验</v>
      </c>
      <c r="D611" t="str">
        <f>"002504050010000"</f>
        <v>002504050010000</v>
      </c>
      <c r="G611">
        <v>60</v>
      </c>
      <c r="I611" t="str">
        <f>"-"</f>
        <v>-</v>
      </c>
      <c r="K611" t="str">
        <f>"ZIGECDGZFGFDLCD"</f>
        <v>ZIGECDGZFGFDLCD</v>
      </c>
      <c r="L611" t="str">
        <f>"UIGEIPTTNIIPJIP"</f>
        <v>UIGEIPTTNIIPJIP</v>
      </c>
      <c r="M611">
        <v>60</v>
      </c>
      <c r="N611" t="str">
        <f>"250405001-a"</f>
        <v>250405001-a</v>
      </c>
      <c r="O611" t="str">
        <f t="shared" ref="O611:O615" si="208">"项"</f>
        <v>项</v>
      </c>
      <c r="P611" t="str">
        <f t="shared" si="193"/>
        <v>检验费</v>
      </c>
    </row>
    <row r="612" spans="1:16">
      <c r="A612" t="str">
        <f>"吸入物变应原筛查"</f>
        <v>吸入物变应原筛查</v>
      </c>
      <c r="B612">
        <v>250405002</v>
      </c>
      <c r="C612" t="str">
        <f t="shared" si="195"/>
        <v>检验</v>
      </c>
      <c r="G612">
        <v>30</v>
      </c>
      <c r="I612" t="str">
        <f t="shared" si="207"/>
        <v>项</v>
      </c>
      <c r="K612" t="str">
        <f>"XRWBYYSC"</f>
        <v>XRWBYYSC</v>
      </c>
      <c r="L612" t="str">
        <f>"KTTYYDTS"</f>
        <v>KTTYYDTS</v>
      </c>
      <c r="M612">
        <v>30</v>
      </c>
      <c r="N612">
        <v>250405002</v>
      </c>
      <c r="O612" t="str">
        <f t="shared" si="208"/>
        <v>项</v>
      </c>
      <c r="P612" t="str">
        <f t="shared" si="193"/>
        <v>检验费</v>
      </c>
    </row>
    <row r="613" spans="1:16">
      <c r="A613" t="str">
        <f>"食入物变应原筛查"</f>
        <v>食入物变应原筛查</v>
      </c>
      <c r="B613">
        <v>250405003</v>
      </c>
      <c r="C613" t="str">
        <f t="shared" si="195"/>
        <v>检验</v>
      </c>
      <c r="G613">
        <v>30</v>
      </c>
      <c r="I613" t="str">
        <f t="shared" si="207"/>
        <v>项</v>
      </c>
      <c r="K613" t="str">
        <f>"SRWBYYSC"</f>
        <v>SRWBYYSC</v>
      </c>
      <c r="L613" t="str">
        <f>"WTTYYDTS"</f>
        <v>WTTYYDTS</v>
      </c>
      <c r="M613">
        <v>30</v>
      </c>
      <c r="N613">
        <v>250405003</v>
      </c>
      <c r="O613" t="str">
        <f t="shared" si="208"/>
        <v>项</v>
      </c>
      <c r="P613" t="str">
        <f t="shared" si="193"/>
        <v>检验费</v>
      </c>
    </row>
    <row r="614" spans="1:16">
      <c r="A614" t="str">
        <f>"特殊变应原（多价变应原）筛查"</f>
        <v>特殊变应原（多价变应原）筛查</v>
      </c>
      <c r="B614">
        <v>250405004</v>
      </c>
      <c r="C614" t="str">
        <f t="shared" si="195"/>
        <v>检验</v>
      </c>
      <c r="G614">
        <v>30</v>
      </c>
      <c r="I614" t="str">
        <f t="shared" si="207"/>
        <v>项</v>
      </c>
      <c r="K614" t="str">
        <f>"TSBYYDJBYYSC"</f>
        <v>TSBYYDJBYYSC</v>
      </c>
      <c r="L614" t="str">
        <f>"TGYYDQWYYDTS"</f>
        <v>TGYYDQWYYDTS</v>
      </c>
      <c r="M614">
        <v>30</v>
      </c>
      <c r="O614" t="str">
        <f t="shared" si="208"/>
        <v>项</v>
      </c>
      <c r="P614" t="str">
        <f t="shared" si="193"/>
        <v>检验费</v>
      </c>
    </row>
    <row r="615" spans="1:16">
      <c r="A615" t="str">
        <f>"单项过敏原特异性IgE检测（荧光免疫法）"</f>
        <v>单项过敏原特异性IgE检测（荧光免疫法）</v>
      </c>
      <c r="B615" t="str">
        <f>"250405005-b"</f>
        <v>250405005-b</v>
      </c>
      <c r="C615" t="str">
        <f t="shared" si="195"/>
        <v>检验</v>
      </c>
      <c r="G615">
        <v>60</v>
      </c>
      <c r="I615" t="str">
        <f t="shared" si="207"/>
        <v>项</v>
      </c>
      <c r="K615" t="str">
        <f>"DXGMYTYXIGEJCYGM"</f>
        <v>DXGMYTYXIGEJCYGM</v>
      </c>
      <c r="L615" t="str">
        <f>"UAFTDTNNIGESIAIQ"</f>
        <v>UAFTDTNNIGESIAIQ</v>
      </c>
      <c r="M615">
        <v>60</v>
      </c>
      <c r="N615" t="str">
        <f>"250405005-b"</f>
        <v>250405005-b</v>
      </c>
      <c r="O615" t="str">
        <f t="shared" si="208"/>
        <v>项</v>
      </c>
      <c r="P615" t="str">
        <f t="shared" si="193"/>
        <v>检验费</v>
      </c>
    </row>
    <row r="616" spans="1:16">
      <c r="A616" t="str">
        <f>"细菌培养及鉴定（仪器法）"</f>
        <v>细菌培养及鉴定（仪器法）</v>
      </c>
      <c r="B616" t="str">
        <f>"250501009-b"</f>
        <v>250501009-b</v>
      </c>
      <c r="C616" t="str">
        <f t="shared" si="195"/>
        <v>检验</v>
      </c>
      <c r="G616">
        <v>100</v>
      </c>
      <c r="I616" t="str">
        <f>"-"</f>
        <v>-</v>
      </c>
      <c r="K616" t="str">
        <f>"XJPYJJDYQF"</f>
        <v>XJPYJJDYQF</v>
      </c>
      <c r="L616" t="str">
        <f>"XAFUEJPWKI"</f>
        <v>XAFUEJPWKI</v>
      </c>
      <c r="M616">
        <v>100</v>
      </c>
      <c r="N616" t="str">
        <f>"250501009-b"</f>
        <v>250501009-b</v>
      </c>
      <c r="O616" t="str">
        <f t="shared" ref="O616:O620" si="209">"次"</f>
        <v>次</v>
      </c>
      <c r="P616" t="str">
        <f t="shared" si="193"/>
        <v>检验费</v>
      </c>
    </row>
    <row r="617" spans="1:16">
      <c r="A617" t="str">
        <f>"霍乱弧菌培养"</f>
        <v>霍乱弧菌培养</v>
      </c>
      <c r="B617">
        <v>250501018</v>
      </c>
      <c r="C617" t="str">
        <f t="shared" si="195"/>
        <v>检验</v>
      </c>
      <c r="D617" t="str">
        <f>"002505010180000"</f>
        <v>002505010180000</v>
      </c>
      <c r="G617">
        <v>20</v>
      </c>
      <c r="I617" t="str">
        <f t="shared" ref="I617:I622" si="210">"项"</f>
        <v>项</v>
      </c>
      <c r="K617" t="str">
        <f>"HLHJPY"</f>
        <v>HLHJPY</v>
      </c>
      <c r="L617" t="str">
        <f>"GTXAFU"</f>
        <v>GTXAFU</v>
      </c>
      <c r="M617">
        <v>20</v>
      </c>
      <c r="N617">
        <v>250501018</v>
      </c>
      <c r="O617" t="str">
        <f t="shared" ref="O617:O622" si="211">"项"</f>
        <v>项</v>
      </c>
      <c r="P617" t="str">
        <f t="shared" si="193"/>
        <v>检验费</v>
      </c>
    </row>
    <row r="618" spans="1:16">
      <c r="A618" t="str">
        <f>"真菌涂片"</f>
        <v>真菌涂片</v>
      </c>
      <c r="B618" t="str">
        <f>"250501026-a"</f>
        <v>250501026-a</v>
      </c>
      <c r="C618" t="str">
        <f t="shared" si="195"/>
        <v>检验</v>
      </c>
      <c r="G618">
        <v>100</v>
      </c>
      <c r="I618" t="str">
        <f t="shared" ref="I618:I625" si="212">"次"</f>
        <v>次</v>
      </c>
      <c r="K618" t="str">
        <f>"ZJTP"</f>
        <v>ZJTP</v>
      </c>
      <c r="L618" t="str">
        <f>"FAIT"</f>
        <v>FAIT</v>
      </c>
      <c r="M618">
        <v>100</v>
      </c>
      <c r="O618" t="str">
        <f t="shared" si="209"/>
        <v>次</v>
      </c>
      <c r="P618" t="str">
        <f t="shared" si="193"/>
        <v>检验费</v>
      </c>
    </row>
    <row r="619" spans="1:16">
      <c r="A619" t="str">
        <f>"轮状病毒检测（酶联免疫法、金标法）"</f>
        <v>轮状病毒检测（酶联免疫法、金标法）</v>
      </c>
      <c r="B619" t="str">
        <f>"250501035-a"</f>
        <v>250501035-a</v>
      </c>
      <c r="C619" t="str">
        <f t="shared" si="195"/>
        <v>检验</v>
      </c>
      <c r="D619" t="str">
        <f>"002505010350000"</f>
        <v>002505010350000</v>
      </c>
      <c r="G619">
        <v>45</v>
      </c>
      <c r="I619" t="str">
        <f t="shared" si="210"/>
        <v>项</v>
      </c>
      <c r="K619" t="str">
        <f>"LZBDJC（MLMYF、JBF"</f>
        <v>LZBDJC（MLMYF、JBF</v>
      </c>
      <c r="L619" t="str">
        <f>"LUUGSISBQUIQSI"</f>
        <v>LUUGSISBQUIQSI</v>
      </c>
      <c r="M619">
        <v>45</v>
      </c>
      <c r="N619" t="str">
        <f>"250501035-a"</f>
        <v>250501035-a</v>
      </c>
      <c r="O619" t="str">
        <f t="shared" si="211"/>
        <v>项</v>
      </c>
      <c r="P619" t="str">
        <f t="shared" si="193"/>
        <v>检验费</v>
      </c>
    </row>
    <row r="620" spans="1:16">
      <c r="A620" t="str">
        <f>"常规药敏定性试验（仪器法）"</f>
        <v>常规药敏定性试验（仪器法）</v>
      </c>
      <c r="B620" t="str">
        <f>"250502001-a"</f>
        <v>250502001-a</v>
      </c>
      <c r="C620" t="str">
        <f t="shared" si="195"/>
        <v>检验</v>
      </c>
      <c r="G620">
        <v>60</v>
      </c>
      <c r="I620" t="str">
        <f t="shared" si="212"/>
        <v>次</v>
      </c>
      <c r="K620" t="str">
        <f>"CGYMDXSY（YQF）"</f>
        <v>CGYMDXSY（YQF）</v>
      </c>
      <c r="L620" t="str">
        <f>"IFATPNYCWKI"</f>
        <v>IFATPNYCWKI</v>
      </c>
      <c r="M620">
        <v>60</v>
      </c>
      <c r="N620" t="str">
        <f>"250502001-a"</f>
        <v>250502001-a</v>
      </c>
      <c r="O620" t="str">
        <f t="shared" si="209"/>
        <v>次</v>
      </c>
      <c r="P620" t="str">
        <f t="shared" si="193"/>
        <v>检验费</v>
      </c>
    </row>
    <row r="621" spans="1:16">
      <c r="A621" t="str">
        <f>"血液疟原虫检查"</f>
        <v>血液疟原虫检查</v>
      </c>
      <c r="B621">
        <v>250601005</v>
      </c>
      <c r="C621" t="str">
        <f t="shared" si="195"/>
        <v>检验</v>
      </c>
      <c r="D621" t="str">
        <f>"002506010050000"</f>
        <v>002506010050000</v>
      </c>
      <c r="G621" t="str">
        <f>"0"</f>
        <v>0</v>
      </c>
      <c r="I621" t="str">
        <f t="shared" si="210"/>
        <v>项</v>
      </c>
      <c r="K621" t="str">
        <f>"XYNYCJC"</f>
        <v>XYNYCJC</v>
      </c>
      <c r="L621" t="str">
        <f>"TIUDJSS"</f>
        <v>TIUDJSS</v>
      </c>
      <c r="M621" t="str">
        <f>"0"</f>
        <v>0</v>
      </c>
      <c r="N621">
        <v>250601005</v>
      </c>
      <c r="O621" t="str">
        <f t="shared" si="211"/>
        <v>项</v>
      </c>
      <c r="P621" t="str">
        <f t="shared" si="193"/>
        <v>检验费</v>
      </c>
    </row>
    <row r="622" spans="1:16">
      <c r="A622" t="str">
        <f>"唐氏综合症筛查"</f>
        <v>唐氏综合症筛查</v>
      </c>
      <c r="B622">
        <v>250700010</v>
      </c>
      <c r="C622" t="str">
        <f t="shared" si="195"/>
        <v>检验</v>
      </c>
      <c r="G622" t="str">
        <f>"0"</f>
        <v>0</v>
      </c>
      <c r="I622" t="str">
        <f t="shared" si="210"/>
        <v>项</v>
      </c>
      <c r="K622" t="str">
        <f>"TSZHZSC"</f>
        <v>TSZHZSC</v>
      </c>
      <c r="L622" t="str">
        <f>"YQXWUTS"</f>
        <v>YQXWUTS</v>
      </c>
      <c r="M622">
        <v>15</v>
      </c>
      <c r="N622">
        <v>250700010</v>
      </c>
      <c r="O622" t="str">
        <f t="shared" si="211"/>
        <v>项</v>
      </c>
      <c r="P622" t="str">
        <f t="shared" si="193"/>
        <v>检验费</v>
      </c>
    </row>
    <row r="623" spans="1:16">
      <c r="A623" t="str">
        <f>"唐氏综合症筛查及唐氏综合症风险率计算"</f>
        <v>唐氏综合症筛查及唐氏综合症风险率计算</v>
      </c>
      <c r="B623" t="str">
        <f>"250700010-a"</f>
        <v>250700010-a</v>
      </c>
      <c r="C623" t="str">
        <f t="shared" si="195"/>
        <v>检验</v>
      </c>
      <c r="D623" t="str">
        <f>"002507000100000"</f>
        <v>002507000100000</v>
      </c>
      <c r="G623">
        <v>110</v>
      </c>
      <c r="I623" t="str">
        <f t="shared" si="212"/>
        <v>次</v>
      </c>
      <c r="K623" t="str">
        <f>"TSZHZSCJTSZHZFXLJS"</f>
        <v>TSZHZSCJTSZHZFXLJS</v>
      </c>
      <c r="L623" t="str">
        <f>"YQXWUTSEYQXWUMBYYT"</f>
        <v>YQXWUTSEYQXWUMBYYT</v>
      </c>
      <c r="M623">
        <v>110</v>
      </c>
      <c r="N623" t="str">
        <f>"250700010-a"</f>
        <v>250700010-a</v>
      </c>
      <c r="O623" t="str">
        <f t="shared" ref="O623:O625" si="213">"次"</f>
        <v>次</v>
      </c>
      <c r="P623" t="str">
        <f t="shared" si="193"/>
        <v>检验费</v>
      </c>
    </row>
    <row r="624" spans="1:16">
      <c r="A624" t="str">
        <f>"ABO红细胞定型"</f>
        <v>ABO红细胞定型</v>
      </c>
      <c r="B624" t="str">
        <f>"260000001-a"</f>
        <v>260000001-a</v>
      </c>
      <c r="C624" t="str">
        <f t="shared" si="195"/>
        <v>检验</v>
      </c>
      <c r="D624" t="str">
        <f>"002600000010000"</f>
        <v>002600000010000</v>
      </c>
      <c r="G624">
        <v>5</v>
      </c>
      <c r="I624" t="str">
        <f t="shared" si="212"/>
        <v>次</v>
      </c>
      <c r="K624" t="str">
        <f>"ABOHXBDX"</f>
        <v>ABOHXBDX</v>
      </c>
      <c r="L624" t="str">
        <f>"ABOXXEPG"</f>
        <v>ABOXXEPG</v>
      </c>
      <c r="M624">
        <v>5</v>
      </c>
      <c r="N624" t="str">
        <f>"260000001-a"</f>
        <v>260000001-a</v>
      </c>
      <c r="O624" t="str">
        <f t="shared" si="213"/>
        <v>次</v>
      </c>
      <c r="P624" t="str">
        <f t="shared" si="193"/>
        <v>检验费</v>
      </c>
    </row>
    <row r="625" spans="1:16">
      <c r="A625" t="str">
        <f>"Rh血型鉴定"</f>
        <v>Rh血型鉴定</v>
      </c>
      <c r="B625">
        <v>260000004</v>
      </c>
      <c r="C625" t="str">
        <f t="shared" si="195"/>
        <v>检验</v>
      </c>
      <c r="D625" t="str">
        <f>"002600000040000"</f>
        <v>002600000040000</v>
      </c>
      <c r="G625">
        <v>10</v>
      </c>
      <c r="I625" t="str">
        <f t="shared" si="212"/>
        <v>次</v>
      </c>
      <c r="K625" t="str">
        <f>"RHXXJD"</f>
        <v>RHXXJD</v>
      </c>
      <c r="L625" t="str">
        <f>"rhTGJP"</f>
        <v>rhTGJP</v>
      </c>
      <c r="M625">
        <v>10</v>
      </c>
      <c r="N625">
        <v>260000004</v>
      </c>
      <c r="O625" t="str">
        <f t="shared" si="213"/>
        <v>次</v>
      </c>
      <c r="P625" t="str">
        <f t="shared" si="193"/>
        <v>检验费</v>
      </c>
    </row>
    <row r="626" spans="1:16">
      <c r="A626" t="str">
        <f>"手术标本检查与诊断"</f>
        <v>手术标本检查与诊断</v>
      </c>
      <c r="B626">
        <v>270300005</v>
      </c>
      <c r="C626" t="str">
        <f t="shared" ref="C626:C631" si="214">"其他"</f>
        <v>其他</v>
      </c>
      <c r="D626" t="str">
        <f>"002703000050000"</f>
        <v>002703000050000</v>
      </c>
      <c r="G626">
        <v>160</v>
      </c>
      <c r="I626" t="str">
        <f>"例"</f>
        <v>例</v>
      </c>
      <c r="K626" t="str">
        <f>"SSBBJCYZD"</f>
        <v>SSBBJCYZD</v>
      </c>
      <c r="L626" t="str">
        <f>"RSSSSSGYO"</f>
        <v>RSSSSSGYO</v>
      </c>
      <c r="M626">
        <v>160</v>
      </c>
      <c r="N626">
        <v>270300005</v>
      </c>
      <c r="O626" t="str">
        <f>"例"</f>
        <v>例</v>
      </c>
      <c r="P626" t="str">
        <f t="shared" ref="P626:P632" si="215">"病理检查"</f>
        <v>病理检查</v>
      </c>
    </row>
    <row r="627" spans="1:16">
      <c r="A627" t="str">
        <f>"免疫荧光染色诊断"</f>
        <v>免疫荧光染色诊断</v>
      </c>
      <c r="B627">
        <v>270500003</v>
      </c>
      <c r="C627" t="str">
        <f t="shared" si="214"/>
        <v>其他</v>
      </c>
      <c r="D627" t="str">
        <f>"002705000030000"</f>
        <v>002705000030000</v>
      </c>
      <c r="G627">
        <v>70</v>
      </c>
      <c r="I627" t="str">
        <f t="shared" ref="I627:I631" si="216">"次"</f>
        <v>次</v>
      </c>
      <c r="K627" t="str">
        <f>"MYYGRSZD"</f>
        <v>MYYGRSZD</v>
      </c>
      <c r="L627" t="str">
        <f>"QUAIIQYO"</f>
        <v>QUAIIQYO</v>
      </c>
      <c r="M627">
        <v>70</v>
      </c>
      <c r="N627">
        <v>270500003</v>
      </c>
      <c r="O627" t="str">
        <f t="shared" ref="O627:O634" si="217">"次"</f>
        <v>次</v>
      </c>
      <c r="P627" t="str">
        <f t="shared" si="215"/>
        <v>病理检查</v>
      </c>
    </row>
    <row r="628" spans="1:16">
      <c r="A628" t="str">
        <f>"显微摄影术"</f>
        <v>显微摄影术</v>
      </c>
      <c r="B628">
        <v>270800003</v>
      </c>
      <c r="C628" t="str">
        <f>"治疗"</f>
        <v>治疗</v>
      </c>
      <c r="G628">
        <v>20</v>
      </c>
      <c r="I628" t="str">
        <f t="shared" si="216"/>
        <v>次</v>
      </c>
      <c r="K628" t="str">
        <f>"XWSYS"</f>
        <v>XWSYS</v>
      </c>
      <c r="L628" t="str">
        <f>"JTRJS"</f>
        <v>JTRJS</v>
      </c>
      <c r="M628">
        <v>20</v>
      </c>
      <c r="N628">
        <v>270800003</v>
      </c>
      <c r="O628" t="str">
        <f t="shared" si="217"/>
        <v>次</v>
      </c>
      <c r="P628" t="str">
        <f>"治疗费"</f>
        <v>治疗费</v>
      </c>
    </row>
    <row r="629" spans="1:16">
      <c r="A629" t="str">
        <f>"病理图文报告"</f>
        <v>病理图文报告</v>
      </c>
      <c r="B629">
        <v>270800004</v>
      </c>
      <c r="C629" t="str">
        <f t="shared" si="214"/>
        <v>其他</v>
      </c>
      <c r="D629" t="str">
        <f>"322708000110000"</f>
        <v>322708000110000</v>
      </c>
      <c r="G629">
        <v>30</v>
      </c>
      <c r="I629" t="str">
        <f t="shared" si="216"/>
        <v>次</v>
      </c>
      <c r="K629" t="str">
        <f>"BLTWBG"</f>
        <v>BLTWBG</v>
      </c>
      <c r="L629" t="str">
        <f>"UGLYRT"</f>
        <v>UGLYRT</v>
      </c>
      <c r="M629">
        <v>30</v>
      </c>
      <c r="N629">
        <v>270800004</v>
      </c>
      <c r="O629" t="str">
        <f t="shared" si="217"/>
        <v>次</v>
      </c>
      <c r="P629" t="str">
        <f t="shared" si="215"/>
        <v>病理检查</v>
      </c>
    </row>
    <row r="630" spans="1:16">
      <c r="A630" t="str">
        <f>"疑难病理会诊"</f>
        <v>疑难病理会诊</v>
      </c>
      <c r="B630">
        <v>270800005</v>
      </c>
      <c r="C630" t="str">
        <f t="shared" si="214"/>
        <v>其他</v>
      </c>
      <c r="D630" t="str">
        <f>"002708000070000"</f>
        <v>002708000070000</v>
      </c>
      <c r="G630">
        <v>100</v>
      </c>
      <c r="I630" t="str">
        <f t="shared" si="216"/>
        <v>次</v>
      </c>
      <c r="K630" t="str">
        <f>"YNBLHZ"</f>
        <v>YNBLHZ</v>
      </c>
      <c r="L630" t="str">
        <f>"XCUGWY"</f>
        <v>XCUGWY</v>
      </c>
      <c r="M630">
        <v>185</v>
      </c>
      <c r="N630">
        <v>270800005</v>
      </c>
      <c r="O630" t="str">
        <f t="shared" si="217"/>
        <v>次</v>
      </c>
      <c r="P630" t="str">
        <f t="shared" si="215"/>
        <v>病理检查</v>
      </c>
    </row>
    <row r="631" spans="1:16">
      <c r="A631" t="str">
        <f>"普通病理会诊"</f>
        <v>普通病理会诊</v>
      </c>
      <c r="B631">
        <v>270800006</v>
      </c>
      <c r="C631" t="str">
        <f t="shared" si="214"/>
        <v>其他</v>
      </c>
      <c r="D631" t="str">
        <f>"002708000080000"</f>
        <v>002708000080000</v>
      </c>
      <c r="G631">
        <v>50</v>
      </c>
      <c r="I631" t="str">
        <f t="shared" si="216"/>
        <v>次</v>
      </c>
      <c r="K631" t="str">
        <f>"PTBLHZ"</f>
        <v>PTBLHZ</v>
      </c>
      <c r="L631" t="str">
        <f>"UCUGWY"</f>
        <v>UCUGWY</v>
      </c>
      <c r="M631">
        <v>52</v>
      </c>
      <c r="N631">
        <v>270800006</v>
      </c>
      <c r="O631" t="str">
        <f t="shared" si="217"/>
        <v>次</v>
      </c>
      <c r="P631" t="str">
        <f t="shared" si="215"/>
        <v>病理检查</v>
      </c>
    </row>
    <row r="632" spans="1:16">
      <c r="A632" t="str">
        <f>"液基薄层细胞制片术(TCT)"</f>
        <v>液基薄层细胞制片术(TCT)</v>
      </c>
      <c r="B632" t="str">
        <f>"270800007-a"</f>
        <v>270800007-a</v>
      </c>
      <c r="C632" t="str">
        <f>"检验"</f>
        <v>检验</v>
      </c>
      <c r="D632" t="str">
        <f>"002708000040000"</f>
        <v>002708000040000</v>
      </c>
      <c r="G632">
        <v>155</v>
      </c>
      <c r="I632" t="str">
        <f>"-"</f>
        <v>-</v>
      </c>
      <c r="K632" t="str">
        <f>"YJBCXBZPSTCT"</f>
        <v>YJBCXBZPSTCT</v>
      </c>
      <c r="L632" t="str">
        <f>"IAANXERTSTCT"</f>
        <v>IAANXERTSTCT</v>
      </c>
      <c r="M632">
        <v>155</v>
      </c>
      <c r="N632" t="str">
        <f>"270800007-a"</f>
        <v>270800007-a</v>
      </c>
      <c r="O632" t="str">
        <f t="shared" si="217"/>
        <v>次</v>
      </c>
      <c r="P632" t="str">
        <f t="shared" si="215"/>
        <v>病理检查</v>
      </c>
    </row>
    <row r="633" spans="1:16">
      <c r="A633" t="str">
        <f>"脑电图指16导"</f>
        <v>脑电图指16导</v>
      </c>
      <c r="B633">
        <v>310100001</v>
      </c>
      <c r="C633" t="str">
        <f t="shared" ref="C633:C639" si="218">"其他"</f>
        <v>其他</v>
      </c>
      <c r="D633" t="str">
        <f>"003101000010000"</f>
        <v>003101000010000</v>
      </c>
      <c r="G633">
        <v>39</v>
      </c>
      <c r="I633" t="str">
        <f t="shared" ref="I633:I640" si="219">"次"</f>
        <v>次</v>
      </c>
      <c r="K633" t="str">
        <f>"NDTZ16D"</f>
        <v>NDTZ16D</v>
      </c>
      <c r="L633" t="str">
        <f>"EJLR16N"</f>
        <v>EJLR16N</v>
      </c>
      <c r="M633">
        <v>39</v>
      </c>
      <c r="N633">
        <v>310100001</v>
      </c>
      <c r="O633" t="str">
        <f t="shared" si="217"/>
        <v>次</v>
      </c>
      <c r="P633" t="str">
        <f t="shared" ref="P633:P639" si="220">"治疗费"</f>
        <v>治疗费</v>
      </c>
    </row>
    <row r="634" spans="1:16">
      <c r="A634" t="str">
        <f>"感觉阈值测量"</f>
        <v>感觉阈值测量</v>
      </c>
      <c r="B634">
        <v>310100015</v>
      </c>
      <c r="C634" t="str">
        <f t="shared" ref="C634:C636" si="221">"检查"</f>
        <v>检查</v>
      </c>
      <c r="D634" t="str">
        <f>"003101000150000"</f>
        <v>003101000150000</v>
      </c>
      <c r="G634">
        <v>26</v>
      </c>
      <c r="I634" t="str">
        <f>"-"</f>
        <v>-</v>
      </c>
      <c r="K634" t="str">
        <f>"GJYZCL"</f>
        <v>GJYZCL</v>
      </c>
      <c r="L634" t="str">
        <f>"DIUWIJ"</f>
        <v>DIUWIJ</v>
      </c>
      <c r="M634">
        <v>26</v>
      </c>
      <c r="N634">
        <v>310100015</v>
      </c>
      <c r="O634" t="str">
        <f t="shared" si="217"/>
        <v>次</v>
      </c>
      <c r="P634" t="str">
        <f t="shared" ref="P634:P636" si="222">"检查费"</f>
        <v>检查费</v>
      </c>
    </row>
    <row r="635" spans="1:16">
      <c r="A635" t="str">
        <f>"肌电图"</f>
        <v>肌电图</v>
      </c>
      <c r="B635">
        <v>310100023</v>
      </c>
      <c r="C635" t="str">
        <f t="shared" si="221"/>
        <v>检查</v>
      </c>
      <c r="G635">
        <v>59</v>
      </c>
      <c r="I635">
        <v>1</v>
      </c>
      <c r="K635" t="str">
        <f>"JDT"</f>
        <v>JDT</v>
      </c>
      <c r="L635" t="str">
        <f>"EJL"</f>
        <v>EJL</v>
      </c>
      <c r="M635">
        <v>59</v>
      </c>
      <c r="N635">
        <v>310100023</v>
      </c>
      <c r="O635" t="str">
        <f>"次和一条肌"</f>
        <v>次和一条肌</v>
      </c>
      <c r="P635" t="str">
        <f t="shared" si="222"/>
        <v>检查费</v>
      </c>
    </row>
    <row r="636" spans="1:16">
      <c r="A636" t="str">
        <f>"单纤维肌电图"</f>
        <v>单纤维肌电图</v>
      </c>
      <c r="B636">
        <v>310100024</v>
      </c>
      <c r="C636" t="str">
        <f t="shared" si="221"/>
        <v>检查</v>
      </c>
      <c r="G636">
        <v>50</v>
      </c>
      <c r="I636">
        <v>1</v>
      </c>
      <c r="K636" t="str">
        <f>"DXWJDT"</f>
        <v>DXWJDT</v>
      </c>
      <c r="L636" t="str">
        <f>"UXXEJL"</f>
        <v>UXXEJL</v>
      </c>
      <c r="M636">
        <v>65</v>
      </c>
      <c r="N636">
        <v>310100024</v>
      </c>
      <c r="O636" t="str">
        <f>"每根"</f>
        <v>每根</v>
      </c>
      <c r="P636" t="str">
        <f t="shared" si="222"/>
        <v>检查费</v>
      </c>
    </row>
    <row r="637" spans="1:16">
      <c r="A637" t="str">
        <f>"神经阻滞治疗"</f>
        <v>神经阻滞治疗</v>
      </c>
      <c r="B637">
        <v>310100027</v>
      </c>
      <c r="C637" t="str">
        <f t="shared" si="218"/>
        <v>其他</v>
      </c>
      <c r="D637" t="str">
        <f>"003101000270000"</f>
        <v>003101000270000</v>
      </c>
      <c r="G637">
        <v>65</v>
      </c>
      <c r="I637" t="str">
        <f t="shared" si="219"/>
        <v>次</v>
      </c>
      <c r="K637" t="str">
        <f>"SJZZZL"</f>
        <v>SJZZZL</v>
      </c>
      <c r="L637" t="str">
        <f>"PXBIIU"</f>
        <v>PXBIIU</v>
      </c>
      <c r="M637">
        <v>65</v>
      </c>
      <c r="N637">
        <v>310100027</v>
      </c>
      <c r="O637" t="str">
        <f t="shared" ref="O637:O640" si="223">"次"</f>
        <v>次</v>
      </c>
      <c r="P637" t="str">
        <f t="shared" si="220"/>
        <v>治疗费</v>
      </c>
    </row>
    <row r="638" spans="1:16">
      <c r="A638" t="str">
        <f>"禁水试验"</f>
        <v>禁水试验</v>
      </c>
      <c r="B638">
        <v>310203001</v>
      </c>
      <c r="C638" t="str">
        <f t="shared" si="218"/>
        <v>其他</v>
      </c>
      <c r="D638" t="str">
        <f>"003102030010000"</f>
        <v>003102030010000</v>
      </c>
      <c r="G638">
        <v>26</v>
      </c>
      <c r="I638" t="str">
        <f t="shared" si="219"/>
        <v>次</v>
      </c>
      <c r="K638" t="str">
        <f>"JSSY"</f>
        <v>JSSY</v>
      </c>
      <c r="L638" t="str">
        <f>"SIYC"</f>
        <v>SIYC</v>
      </c>
      <c r="M638">
        <v>26</v>
      </c>
      <c r="N638">
        <v>310203001</v>
      </c>
      <c r="O638" t="str">
        <f t="shared" si="223"/>
        <v>次</v>
      </c>
      <c r="P638" t="str">
        <f t="shared" si="220"/>
        <v>治疗费</v>
      </c>
    </row>
    <row r="639" spans="1:16">
      <c r="A639" t="str">
        <f>"水负荷试验"</f>
        <v>水负荷试验</v>
      </c>
      <c r="B639">
        <v>310203004</v>
      </c>
      <c r="C639" t="str">
        <f t="shared" si="218"/>
        <v>其他</v>
      </c>
      <c r="D639" t="str">
        <f>"003102030040000"</f>
        <v>003102030040000</v>
      </c>
      <c r="G639">
        <v>26</v>
      </c>
      <c r="I639" t="str">
        <f t="shared" si="219"/>
        <v>次</v>
      </c>
      <c r="K639" t="str">
        <f>"SFHSY"</f>
        <v>SFHSY</v>
      </c>
      <c r="L639" t="str">
        <f>"IQAYC"</f>
        <v>IQAYC</v>
      </c>
      <c r="M639">
        <v>26</v>
      </c>
      <c r="N639">
        <v>310203004</v>
      </c>
      <c r="O639" t="str">
        <f t="shared" si="223"/>
        <v>次</v>
      </c>
      <c r="P639" t="str">
        <f t="shared" si="220"/>
        <v>治疗费</v>
      </c>
    </row>
    <row r="640" spans="1:16">
      <c r="A640" t="str">
        <f>"电脑血糖监测"</f>
        <v>电脑血糖监测</v>
      </c>
      <c r="B640">
        <v>310205008</v>
      </c>
      <c r="C640" t="str">
        <f>"检验"</f>
        <v>检验</v>
      </c>
      <c r="D640" t="str">
        <f>"003102050080000"</f>
        <v>003102050080000</v>
      </c>
      <c r="G640">
        <v>4</v>
      </c>
      <c r="I640" t="str">
        <f t="shared" si="219"/>
        <v>次</v>
      </c>
      <c r="K640" t="str">
        <f>"DNXTJC"</f>
        <v>DNXTJC</v>
      </c>
      <c r="L640" t="str">
        <f>"JETOJI"</f>
        <v>JETOJI</v>
      </c>
      <c r="M640">
        <v>5.2</v>
      </c>
      <c r="N640">
        <v>310205008</v>
      </c>
      <c r="O640" t="str">
        <f t="shared" si="223"/>
        <v>次</v>
      </c>
      <c r="P640" t="str">
        <f>"检验费"</f>
        <v>检验费</v>
      </c>
    </row>
    <row r="641" spans="1:16">
      <c r="A641" t="str">
        <f>"血糖试纸"</f>
        <v>血糖试纸</v>
      </c>
      <c r="B641" t="str">
        <f>"310205008-2"</f>
        <v>310205008-2</v>
      </c>
      <c r="C641" t="str">
        <f>"材料"</f>
        <v>材料</v>
      </c>
      <c r="D641" t="str">
        <f>"C18010100000000000000000000"</f>
        <v>C18010100000000000000000000</v>
      </c>
      <c r="G641">
        <v>1.15</v>
      </c>
      <c r="I641">
        <v>1</v>
      </c>
      <c r="K641" t="str">
        <f>"XTSZ"</f>
        <v>XTSZ</v>
      </c>
      <c r="L641" t="str">
        <f>"TOYX"</f>
        <v>TOYX</v>
      </c>
      <c r="M641">
        <v>4.2</v>
      </c>
      <c r="N641" t="str">
        <f>"310205008-2"</f>
        <v>310205008-2</v>
      </c>
      <c r="O641" t="str">
        <f>"片"</f>
        <v>片</v>
      </c>
      <c r="P641" t="str">
        <f>"材料费"</f>
        <v>材料费</v>
      </c>
    </row>
    <row r="642" spans="1:16">
      <c r="A642" t="str">
        <f>"绒毛膜促性腺激素(β-HCG)"</f>
        <v>绒毛膜促性腺激素(β-HCG)</v>
      </c>
      <c r="B642" t="str">
        <f>"310208002-b"</f>
        <v>310208002-b</v>
      </c>
      <c r="C642" t="str">
        <f>"检验"</f>
        <v>检验</v>
      </c>
      <c r="G642">
        <v>59</v>
      </c>
      <c r="I642" t="str">
        <f t="shared" ref="I642:I657" si="224">"次"</f>
        <v>次</v>
      </c>
      <c r="K642" t="str">
        <f>"RMMCXXJS(Β-HCG)"</f>
        <v>RMMCXXJS(Β-HCG)</v>
      </c>
      <c r="L642" t="str">
        <f>"XTEWNEIG(-hcg)"</f>
        <v>XTEWNEIG(-hcg)</v>
      </c>
      <c r="M642">
        <v>59</v>
      </c>
      <c r="N642" t="str">
        <f>"310208002-b"</f>
        <v>310208002-b</v>
      </c>
      <c r="O642" t="str">
        <f t="shared" ref="O642:O647" si="225">"次"</f>
        <v>次</v>
      </c>
      <c r="P642" t="str">
        <f>"检验费"</f>
        <v>检验费</v>
      </c>
    </row>
    <row r="643" spans="1:16">
      <c r="A643" t="str">
        <f>"验光"</f>
        <v>验光</v>
      </c>
      <c r="B643">
        <v>310300007</v>
      </c>
      <c r="C643" t="str">
        <f t="shared" ref="C643:C647" si="226">"其他"</f>
        <v>其他</v>
      </c>
      <c r="D643" t="str">
        <f>"003103000070000"</f>
        <v>003103000070000</v>
      </c>
      <c r="G643">
        <v>35</v>
      </c>
      <c r="I643" t="str">
        <f>"项"</f>
        <v>项</v>
      </c>
      <c r="K643" t="str">
        <f>"YG"</f>
        <v>YG</v>
      </c>
      <c r="L643" t="str">
        <f>"CI"</f>
        <v>CI</v>
      </c>
      <c r="M643">
        <v>35</v>
      </c>
      <c r="N643">
        <v>310300007</v>
      </c>
      <c r="O643" t="str">
        <f>"项"</f>
        <v>项</v>
      </c>
      <c r="P643" t="str">
        <f t="shared" ref="P643:P645" si="227">"检查费"</f>
        <v>检查费</v>
      </c>
    </row>
    <row r="644" spans="1:16">
      <c r="A644" t="str">
        <f>"双眼视觉检查"</f>
        <v>双眼视觉检查</v>
      </c>
      <c r="B644">
        <v>310300019</v>
      </c>
      <c r="C644" t="str">
        <f t="shared" si="226"/>
        <v>其他</v>
      </c>
      <c r="D644" t="str">
        <f>"003103000190000"</f>
        <v>003103000190000</v>
      </c>
      <c r="G644">
        <v>18</v>
      </c>
      <c r="I644" t="str">
        <f t="shared" si="224"/>
        <v>次</v>
      </c>
      <c r="K644" t="str">
        <f>"SYSJJC"</f>
        <v>SYSJJC</v>
      </c>
      <c r="L644" t="str">
        <f>"CHPISS"</f>
        <v>CHPISS</v>
      </c>
      <c r="M644">
        <v>18</v>
      </c>
      <c r="N644">
        <v>310300019</v>
      </c>
      <c r="O644" t="str">
        <f t="shared" ref="O644:O649" si="228">"次(双眼)"</f>
        <v>次(双眼)</v>
      </c>
      <c r="P644" t="str">
        <f t="shared" si="227"/>
        <v>检查费</v>
      </c>
    </row>
    <row r="645" spans="1:16">
      <c r="A645" t="str">
        <f>"色觉检查"</f>
        <v>色觉检查</v>
      </c>
      <c r="B645">
        <v>310300020</v>
      </c>
      <c r="C645" t="str">
        <f t="shared" si="226"/>
        <v>其他</v>
      </c>
      <c r="D645" t="str">
        <f>"003103000200000"</f>
        <v>003103000200000</v>
      </c>
      <c r="G645">
        <v>6.5</v>
      </c>
      <c r="I645" t="str">
        <f t="shared" si="224"/>
        <v>次</v>
      </c>
      <c r="K645" t="str">
        <f>"SJJC"</f>
        <v>SJJC</v>
      </c>
      <c r="L645" t="str">
        <f>"QISS"</f>
        <v>QISS</v>
      </c>
      <c r="M645">
        <v>7</v>
      </c>
      <c r="N645">
        <v>310300020</v>
      </c>
      <c r="O645" t="str">
        <f t="shared" si="225"/>
        <v>次</v>
      </c>
      <c r="P645" t="str">
        <f t="shared" si="227"/>
        <v>检查费</v>
      </c>
    </row>
    <row r="646" spans="1:16">
      <c r="A646" t="str">
        <f>"暗适应测定"</f>
        <v>暗适应测定</v>
      </c>
      <c r="B646">
        <v>310300022</v>
      </c>
      <c r="C646" t="str">
        <f t="shared" si="226"/>
        <v>其他</v>
      </c>
      <c r="D646" t="str">
        <f>"003103000220000"</f>
        <v>003103000220000</v>
      </c>
      <c r="G646">
        <v>26</v>
      </c>
      <c r="I646" t="str">
        <f t="shared" si="224"/>
        <v>次</v>
      </c>
      <c r="K646" t="str">
        <f>"ASYCD"</f>
        <v>ASYCD</v>
      </c>
      <c r="L646" t="str">
        <f>"JTYIP"</f>
        <v>JTYIP</v>
      </c>
      <c r="M646">
        <v>26</v>
      </c>
      <c r="N646">
        <v>310300022</v>
      </c>
      <c r="O646" t="str">
        <f t="shared" si="225"/>
        <v>次</v>
      </c>
      <c r="P646" t="str">
        <f t="shared" ref="P646:P649" si="229">"治疗费"</f>
        <v>治疗费</v>
      </c>
    </row>
    <row r="647" spans="1:16">
      <c r="A647" t="str">
        <f>"明适应测定"</f>
        <v>明适应测定</v>
      </c>
      <c r="B647">
        <v>310300023</v>
      </c>
      <c r="C647" t="str">
        <f t="shared" si="226"/>
        <v>其他</v>
      </c>
      <c r="D647" t="str">
        <f>"003103000230000"</f>
        <v>003103000230000</v>
      </c>
      <c r="G647">
        <v>26</v>
      </c>
      <c r="I647" t="str">
        <f t="shared" si="224"/>
        <v>次</v>
      </c>
      <c r="K647" t="str">
        <f>"MSYCD"</f>
        <v>MSYCD</v>
      </c>
      <c r="L647" t="str">
        <f>"JTYIP"</f>
        <v>JTYIP</v>
      </c>
      <c r="M647">
        <v>26</v>
      </c>
      <c r="N647">
        <v>310300023</v>
      </c>
      <c r="O647" t="str">
        <f t="shared" si="225"/>
        <v>次</v>
      </c>
      <c r="P647" t="str">
        <f t="shared" si="229"/>
        <v>治疗费</v>
      </c>
    </row>
    <row r="648" spans="1:16">
      <c r="A648" t="str">
        <f>"眼压检查"</f>
        <v>眼压检查</v>
      </c>
      <c r="B648">
        <v>310300027</v>
      </c>
      <c r="C648" t="str">
        <f>"治疗"</f>
        <v>治疗</v>
      </c>
      <c r="D648" t="str">
        <f>"003103000270000"</f>
        <v>003103000270000</v>
      </c>
      <c r="G648">
        <v>13</v>
      </c>
      <c r="I648" t="str">
        <f t="shared" si="224"/>
        <v>次</v>
      </c>
      <c r="K648" t="str">
        <f>"YYJC"</f>
        <v>YYJC</v>
      </c>
      <c r="L648" t="str">
        <f>"HDSS"</f>
        <v>HDSS</v>
      </c>
      <c r="M648">
        <v>13</v>
      </c>
      <c r="N648">
        <v>310300027</v>
      </c>
      <c r="O648" t="str">
        <f t="shared" si="228"/>
        <v>次(双眼)</v>
      </c>
      <c r="P648" t="str">
        <f t="shared" ref="P648:P655" si="230">"检查费"</f>
        <v>检查费</v>
      </c>
    </row>
    <row r="649" spans="1:16">
      <c r="A649" t="str">
        <f>"泪道冲洗"</f>
        <v>泪道冲洗</v>
      </c>
      <c r="B649">
        <v>310300036</v>
      </c>
      <c r="C649" t="str">
        <f t="shared" ref="C649:C651" si="231">"其他"</f>
        <v>其他</v>
      </c>
      <c r="D649" t="str">
        <f>"003103000360000"</f>
        <v>003103000360000</v>
      </c>
      <c r="G649">
        <v>6</v>
      </c>
      <c r="I649" t="str">
        <f t="shared" si="224"/>
        <v>次</v>
      </c>
      <c r="K649" t="str">
        <f>"LDCX"</f>
        <v>LDCX</v>
      </c>
      <c r="L649" t="str">
        <f>"IUUI"</f>
        <v>IUUI</v>
      </c>
      <c r="M649">
        <v>6</v>
      </c>
      <c r="N649">
        <v>310300036</v>
      </c>
      <c r="O649" t="str">
        <f t="shared" si="228"/>
        <v>次(双眼)</v>
      </c>
      <c r="P649" t="str">
        <f t="shared" si="229"/>
        <v>治疗费</v>
      </c>
    </row>
    <row r="650" spans="1:16">
      <c r="A650" t="str">
        <f>"角膜荧光素染色检查"</f>
        <v>角膜荧光素染色检查</v>
      </c>
      <c r="B650">
        <v>310300038</v>
      </c>
      <c r="C650" t="str">
        <f t="shared" si="231"/>
        <v>其他</v>
      </c>
      <c r="D650" t="str">
        <f>"003103000380000"</f>
        <v>003103000380000</v>
      </c>
      <c r="G650">
        <v>8</v>
      </c>
      <c r="I650" t="str">
        <f t="shared" si="224"/>
        <v>次</v>
      </c>
      <c r="K650" t="str">
        <f>"JMYGSRSJC"</f>
        <v>JMYGSRSJC</v>
      </c>
      <c r="L650" t="str">
        <f>"QEAIGIQSS"</f>
        <v>QEAIGIQSS</v>
      </c>
      <c r="M650">
        <v>8</v>
      </c>
      <c r="N650">
        <v>310300038</v>
      </c>
      <c r="O650" t="str">
        <f t="shared" ref="O650:O688" si="232">"次"</f>
        <v>次</v>
      </c>
      <c r="P650" t="str">
        <f t="shared" si="230"/>
        <v>检查费</v>
      </c>
    </row>
    <row r="651" spans="1:16">
      <c r="A651" t="str">
        <f>"角膜知觉检查"</f>
        <v>角膜知觉检查</v>
      </c>
      <c r="B651">
        <v>310300043</v>
      </c>
      <c r="C651" t="str">
        <f t="shared" si="231"/>
        <v>其他</v>
      </c>
      <c r="G651">
        <v>13</v>
      </c>
      <c r="I651" t="str">
        <f t="shared" si="224"/>
        <v>次</v>
      </c>
      <c r="K651" t="str">
        <f>"JMZJJC"</f>
        <v>JMZJJC</v>
      </c>
      <c r="L651" t="str">
        <f>"QETISS"</f>
        <v>QETISS</v>
      </c>
      <c r="M651">
        <v>13</v>
      </c>
      <c r="N651">
        <v>310300043</v>
      </c>
      <c r="O651" t="str">
        <f t="shared" si="232"/>
        <v>次</v>
      </c>
      <c r="P651" t="str">
        <f t="shared" si="230"/>
        <v>检查费</v>
      </c>
    </row>
    <row r="652" spans="1:16">
      <c r="A652" t="str">
        <f>"裂隙灯下眼底检查"</f>
        <v>裂隙灯下眼底检查</v>
      </c>
      <c r="B652">
        <v>310300049</v>
      </c>
      <c r="C652" t="str">
        <f t="shared" ref="C652:C655" si="233">"检查"</f>
        <v>检查</v>
      </c>
      <c r="D652" t="str">
        <f>"003103000490000"</f>
        <v>003103000490000</v>
      </c>
      <c r="G652">
        <v>13</v>
      </c>
      <c r="I652" t="str">
        <f t="shared" si="224"/>
        <v>次</v>
      </c>
      <c r="K652" t="str">
        <f>"LXDXYDJC"</f>
        <v>LXDXYDJC</v>
      </c>
      <c r="L652" t="str">
        <f>"GBOGHYSS"</f>
        <v>GBOGHYSS</v>
      </c>
      <c r="M652">
        <v>13</v>
      </c>
      <c r="N652">
        <v>310300049</v>
      </c>
      <c r="O652" t="str">
        <f>"次(双眼)"</f>
        <v>次(双眼)</v>
      </c>
      <c r="P652" t="str">
        <f t="shared" si="230"/>
        <v>检查费</v>
      </c>
    </row>
    <row r="653" spans="1:16">
      <c r="A653" t="str">
        <f>"眼底检查（视网膜镜）"</f>
        <v>眼底检查（视网膜镜）</v>
      </c>
      <c r="B653" t="str">
        <f>"310300049-1"</f>
        <v>310300049-1</v>
      </c>
      <c r="C653" t="str">
        <f t="shared" si="233"/>
        <v>检查</v>
      </c>
      <c r="D653" t="str">
        <f>"003103000490000"</f>
        <v>003103000490000</v>
      </c>
      <c r="G653">
        <v>13</v>
      </c>
      <c r="I653" t="str">
        <f t="shared" si="224"/>
        <v>次</v>
      </c>
      <c r="K653" t="str">
        <f>"YDJCSWMJ"</f>
        <v>YDJCSWMJ</v>
      </c>
      <c r="L653" t="str">
        <f>"HYSSPMEQ"</f>
        <v>HYSSPMEQ</v>
      </c>
      <c r="M653">
        <v>13</v>
      </c>
      <c r="N653">
        <v>310300049</v>
      </c>
      <c r="O653" t="str">
        <f>"次(双眼)"</f>
        <v>次(双眼)</v>
      </c>
      <c r="P653" t="str">
        <f t="shared" si="230"/>
        <v>检查费</v>
      </c>
    </row>
    <row r="654" spans="1:16">
      <c r="A654" t="str">
        <f>"角膜刮片检查"</f>
        <v>角膜刮片检查</v>
      </c>
      <c r="B654">
        <v>310300076</v>
      </c>
      <c r="C654" t="str">
        <f t="shared" si="233"/>
        <v>检查</v>
      </c>
      <c r="D654" t="str">
        <f>"003103000760000"</f>
        <v>003103000760000</v>
      </c>
      <c r="G654">
        <v>13</v>
      </c>
      <c r="I654" t="str">
        <f t="shared" si="224"/>
        <v>次</v>
      </c>
      <c r="K654" t="str">
        <f>"JMGPJC"</f>
        <v>JMGPJC</v>
      </c>
      <c r="L654" t="str">
        <f>"QETTSS"</f>
        <v>QETTSS</v>
      </c>
      <c r="M654">
        <v>13</v>
      </c>
      <c r="N654">
        <v>310300076</v>
      </c>
      <c r="O654" t="str">
        <f t="shared" si="232"/>
        <v>次</v>
      </c>
      <c r="P654" t="str">
        <f t="shared" si="230"/>
        <v>检查费</v>
      </c>
    </row>
    <row r="655" spans="1:16">
      <c r="A655" t="str">
        <f>"结膜囊取材检查"</f>
        <v>结膜囊取材检查</v>
      </c>
      <c r="B655">
        <v>310300077</v>
      </c>
      <c r="C655" t="str">
        <f t="shared" si="233"/>
        <v>检查</v>
      </c>
      <c r="D655" t="str">
        <f>"003103000770000"</f>
        <v>003103000770000</v>
      </c>
      <c r="G655">
        <v>13</v>
      </c>
      <c r="I655" t="str">
        <f t="shared" si="224"/>
        <v>次</v>
      </c>
      <c r="K655" t="str">
        <f>"JMNQCJC"</f>
        <v>JMNQCJC</v>
      </c>
      <c r="L655" t="str">
        <f>"XEGBSSS"</f>
        <v>XEGBSSS</v>
      </c>
      <c r="M655">
        <v>13</v>
      </c>
      <c r="N655">
        <v>310300077</v>
      </c>
      <c r="O655" t="str">
        <f t="shared" si="232"/>
        <v>次</v>
      </c>
      <c r="P655" t="str">
        <f t="shared" si="230"/>
        <v>检查费</v>
      </c>
    </row>
    <row r="656" spans="1:16">
      <c r="A656" t="str">
        <f>"电解倒睫"</f>
        <v>电解倒睫</v>
      </c>
      <c r="B656">
        <v>310300085</v>
      </c>
      <c r="C656" t="str">
        <f t="shared" ref="C656:C688" si="234">"其他"</f>
        <v>其他</v>
      </c>
      <c r="D656" t="str">
        <f>"003103000850000"</f>
        <v>003103000850000</v>
      </c>
      <c r="G656">
        <v>13</v>
      </c>
      <c r="I656" t="str">
        <f t="shared" si="224"/>
        <v>次</v>
      </c>
      <c r="K656" t="str">
        <f>"DJDJ"</f>
        <v>DJDJ</v>
      </c>
      <c r="L656" t="str">
        <f>"JQWH"</f>
        <v>JQWH</v>
      </c>
      <c r="M656">
        <v>13</v>
      </c>
      <c r="N656">
        <v>310300085</v>
      </c>
      <c r="O656" t="str">
        <f t="shared" si="232"/>
        <v>次</v>
      </c>
      <c r="P656" t="str">
        <f t="shared" ref="P656:P675" si="235">"治疗费"</f>
        <v>治疗费</v>
      </c>
    </row>
    <row r="657" spans="1:16">
      <c r="A657" t="str">
        <f>"拔倒睫"</f>
        <v>拔倒睫</v>
      </c>
      <c r="B657" t="str">
        <f>"310300085-1"</f>
        <v>310300085-1</v>
      </c>
      <c r="C657" t="str">
        <f>"治疗"</f>
        <v>治疗</v>
      </c>
      <c r="G657">
        <v>13</v>
      </c>
      <c r="I657" t="str">
        <f t="shared" si="224"/>
        <v>次</v>
      </c>
      <c r="K657" t="str">
        <f>"BDJ"</f>
        <v>BDJ</v>
      </c>
      <c r="L657" t="str">
        <f>"RWH"</f>
        <v>RWH</v>
      </c>
      <c r="M657">
        <v>13</v>
      </c>
      <c r="N657">
        <v>310300085</v>
      </c>
      <c r="O657" t="str">
        <f t="shared" si="232"/>
        <v>次</v>
      </c>
      <c r="P657" t="str">
        <f t="shared" si="235"/>
        <v>治疗费</v>
      </c>
    </row>
    <row r="658" spans="1:16">
      <c r="A658" t="str">
        <f>"冲洗结膜囊"</f>
        <v>冲洗结膜囊</v>
      </c>
      <c r="B658">
        <v>310300088</v>
      </c>
      <c r="C658" t="str">
        <f t="shared" si="234"/>
        <v>其他</v>
      </c>
      <c r="D658" t="str">
        <f>"003103000880000"</f>
        <v>003103000880000</v>
      </c>
      <c r="G658">
        <v>5</v>
      </c>
      <c r="I658" t="str">
        <f>"-"</f>
        <v>-</v>
      </c>
      <c r="K658" t="str">
        <f>"CXJMN"</f>
        <v>CXJMN</v>
      </c>
      <c r="L658" t="str">
        <f>"UIXEG"</f>
        <v>UIXEG</v>
      </c>
      <c r="M658">
        <v>5</v>
      </c>
      <c r="N658">
        <v>310300088</v>
      </c>
      <c r="O658" t="str">
        <f t="shared" si="232"/>
        <v>次</v>
      </c>
      <c r="P658" t="str">
        <f t="shared" si="235"/>
        <v>治疗费</v>
      </c>
    </row>
    <row r="659" spans="1:16">
      <c r="A659" t="str">
        <f>"睑结膜伪膜去除冲洗"</f>
        <v>睑结膜伪膜去除冲洗</v>
      </c>
      <c r="B659">
        <v>310300089</v>
      </c>
      <c r="C659" t="str">
        <f t="shared" si="234"/>
        <v>其他</v>
      </c>
      <c r="D659" t="str">
        <f>"003103000890000"</f>
        <v>003103000890000</v>
      </c>
      <c r="G659">
        <v>13</v>
      </c>
      <c r="I659" t="str">
        <f t="shared" ref="I659:I669" si="236">"次"</f>
        <v>次</v>
      </c>
      <c r="K659" t="str">
        <f>"JJMWMQCCX"</f>
        <v>JJMWMQCCX</v>
      </c>
      <c r="L659" t="str">
        <f>"HXEWEFBUI"</f>
        <v>HXEWEFBUI</v>
      </c>
      <c r="M659">
        <v>13</v>
      </c>
      <c r="N659">
        <v>310300089</v>
      </c>
      <c r="O659" t="str">
        <f t="shared" si="232"/>
        <v>次</v>
      </c>
      <c r="P659" t="str">
        <f t="shared" si="235"/>
        <v>治疗费</v>
      </c>
    </row>
    <row r="660" spans="1:16">
      <c r="A660" t="str">
        <f>"取结膜结石"</f>
        <v>取结膜结石</v>
      </c>
      <c r="B660">
        <v>310300091</v>
      </c>
      <c r="C660" t="str">
        <f t="shared" si="234"/>
        <v>其他</v>
      </c>
      <c r="D660" t="str">
        <f>"003103000910000"</f>
        <v>003103000910000</v>
      </c>
      <c r="G660">
        <v>13</v>
      </c>
      <c r="I660" t="str">
        <f t="shared" si="236"/>
        <v>次</v>
      </c>
      <c r="K660" t="str">
        <f>"QJMJS"</f>
        <v>QJMJS</v>
      </c>
      <c r="L660" t="str">
        <f>"BXEXD"</f>
        <v>BXEXD</v>
      </c>
      <c r="M660">
        <v>13</v>
      </c>
      <c r="N660">
        <v>310300091</v>
      </c>
      <c r="O660" t="str">
        <f t="shared" si="232"/>
        <v>次</v>
      </c>
      <c r="P660" t="str">
        <f t="shared" si="235"/>
        <v>治疗费</v>
      </c>
    </row>
    <row r="661" spans="1:16">
      <c r="A661" t="str">
        <f>"沙眼磨擦压挤术"</f>
        <v>沙眼磨擦压挤术</v>
      </c>
      <c r="B661">
        <v>310300092</v>
      </c>
      <c r="C661" t="str">
        <f t="shared" si="234"/>
        <v>其他</v>
      </c>
      <c r="D661" t="str">
        <f>"003103000920000"</f>
        <v>003103000920000</v>
      </c>
      <c r="G661">
        <v>13</v>
      </c>
      <c r="I661" t="str">
        <f t="shared" si="236"/>
        <v>次</v>
      </c>
      <c r="K661" t="str">
        <f>"SYMCYJS"</f>
        <v>SYMCYJS</v>
      </c>
      <c r="L661" t="str">
        <f>"IHYRDRS"</f>
        <v>IHYRDRS</v>
      </c>
      <c r="M661">
        <v>13</v>
      </c>
      <c r="N661">
        <v>310300092</v>
      </c>
      <c r="O661" t="str">
        <f t="shared" si="232"/>
        <v>次</v>
      </c>
      <c r="P661" t="str">
        <f t="shared" si="235"/>
        <v>治疗费</v>
      </c>
    </row>
    <row r="662" spans="1:16">
      <c r="A662" t="str">
        <f>"眼部脓肿切开引流术"</f>
        <v>眼部脓肿切开引流术</v>
      </c>
      <c r="B662">
        <v>310300093</v>
      </c>
      <c r="C662" t="str">
        <f t="shared" si="234"/>
        <v>其他</v>
      </c>
      <c r="D662" t="str">
        <f>"003103000930000"</f>
        <v>003103000930000</v>
      </c>
      <c r="G662">
        <v>65</v>
      </c>
      <c r="I662" t="str">
        <f t="shared" si="236"/>
        <v>次</v>
      </c>
      <c r="K662" t="str">
        <f>"YBNZQKYLS"</f>
        <v>YBNZQKYLS</v>
      </c>
      <c r="L662" t="str">
        <f>"HUEEAGXIS"</f>
        <v>HUEEAGXIS</v>
      </c>
      <c r="M662">
        <v>65</v>
      </c>
      <c r="N662">
        <v>310300093</v>
      </c>
      <c r="O662" t="str">
        <f t="shared" si="232"/>
        <v>次</v>
      </c>
      <c r="P662" t="str">
        <f t="shared" si="235"/>
        <v>治疗费</v>
      </c>
    </row>
    <row r="663" spans="1:16">
      <c r="A663" t="str">
        <f>"球结膜下注射"</f>
        <v>球结膜下注射</v>
      </c>
      <c r="B663">
        <v>310300094</v>
      </c>
      <c r="C663" t="str">
        <f t="shared" si="234"/>
        <v>其他</v>
      </c>
      <c r="D663" t="str">
        <f>"003103000940000"</f>
        <v>003103000940000</v>
      </c>
      <c r="G663">
        <v>9</v>
      </c>
      <c r="I663" t="str">
        <f t="shared" si="236"/>
        <v>次</v>
      </c>
      <c r="K663" t="str">
        <f>"QJMXZS"</f>
        <v>QJMXZS</v>
      </c>
      <c r="L663" t="str">
        <f>"GXEGIT"</f>
        <v>GXEGIT</v>
      </c>
      <c r="M663">
        <v>9</v>
      </c>
      <c r="N663">
        <v>310300094</v>
      </c>
      <c r="O663" t="str">
        <f t="shared" si="232"/>
        <v>次</v>
      </c>
      <c r="P663" t="str">
        <f t="shared" si="235"/>
        <v>治疗费</v>
      </c>
    </row>
    <row r="664" spans="1:16">
      <c r="A664" t="str">
        <f>"球后注射"</f>
        <v>球后注射</v>
      </c>
      <c r="B664">
        <v>310300095</v>
      </c>
      <c r="C664" t="str">
        <f t="shared" si="234"/>
        <v>其他</v>
      </c>
      <c r="D664" t="str">
        <f>"003103000950000"</f>
        <v>003103000950000</v>
      </c>
      <c r="G664">
        <v>15</v>
      </c>
      <c r="I664" t="str">
        <f t="shared" si="236"/>
        <v>次</v>
      </c>
      <c r="K664" t="str">
        <f>"QHZS"</f>
        <v>QHZS</v>
      </c>
      <c r="L664" t="str">
        <f>"GRIT"</f>
        <v>GRIT</v>
      </c>
      <c r="M664">
        <v>15</v>
      </c>
      <c r="N664">
        <v>310300095</v>
      </c>
      <c r="O664" t="str">
        <f t="shared" si="232"/>
        <v>次</v>
      </c>
      <c r="P664" t="str">
        <f t="shared" si="235"/>
        <v>治疗费</v>
      </c>
    </row>
    <row r="665" spans="1:16">
      <c r="A665" t="str">
        <f>"眶上神经封闭"</f>
        <v>眶上神经封闭</v>
      </c>
      <c r="B665">
        <v>310300096</v>
      </c>
      <c r="C665" t="str">
        <f t="shared" si="234"/>
        <v>其他</v>
      </c>
      <c r="D665" t="str">
        <f>"003103000960000"</f>
        <v>003103000960000</v>
      </c>
      <c r="G665">
        <v>13</v>
      </c>
      <c r="I665" t="str">
        <f t="shared" si="236"/>
        <v>次</v>
      </c>
      <c r="K665" t="str">
        <f>"KSSJFB"</f>
        <v>KSSJFB</v>
      </c>
      <c r="L665" t="str">
        <f>"HHPXFU"</f>
        <v>HHPXFU</v>
      </c>
      <c r="M665">
        <v>13</v>
      </c>
      <c r="N665">
        <v>310300096</v>
      </c>
      <c r="O665" t="str">
        <f t="shared" si="232"/>
        <v>次</v>
      </c>
      <c r="P665" t="str">
        <f t="shared" si="235"/>
        <v>治疗费</v>
      </c>
    </row>
    <row r="666" spans="1:16">
      <c r="A666" t="str">
        <f>"角膜异物剔除术"</f>
        <v>角膜异物剔除术</v>
      </c>
      <c r="B666">
        <v>310300102</v>
      </c>
      <c r="C666" t="str">
        <f t="shared" si="234"/>
        <v>其他</v>
      </c>
      <c r="D666" t="str">
        <f>"003103001020000"</f>
        <v>003103001020000</v>
      </c>
      <c r="G666">
        <v>30</v>
      </c>
      <c r="I666" t="str">
        <f t="shared" si="236"/>
        <v>次</v>
      </c>
      <c r="K666" t="str">
        <f>"JMYWTCS"</f>
        <v>JMYWTCS</v>
      </c>
      <c r="L666" t="str">
        <f>"QENTJBS"</f>
        <v>QENTJBS</v>
      </c>
      <c r="M666">
        <v>30</v>
      </c>
      <c r="N666">
        <v>310300102</v>
      </c>
      <c r="O666" t="str">
        <f t="shared" si="232"/>
        <v>次</v>
      </c>
      <c r="P666" t="str">
        <f t="shared" si="235"/>
        <v>治疗费</v>
      </c>
    </row>
    <row r="667" spans="1:16">
      <c r="A667" t="str">
        <f>"泪小点扩张"</f>
        <v>泪小点扩张</v>
      </c>
      <c r="B667">
        <v>310300105</v>
      </c>
      <c r="C667" t="str">
        <f t="shared" si="234"/>
        <v>其他</v>
      </c>
      <c r="D667" t="str">
        <f>"003103001050000"</f>
        <v>003103001050000</v>
      </c>
      <c r="G667">
        <v>13</v>
      </c>
      <c r="I667" t="str">
        <f t="shared" si="236"/>
        <v>次</v>
      </c>
      <c r="K667" t="str">
        <f>"LXDKZ"</f>
        <v>LXDKZ</v>
      </c>
      <c r="L667" t="str">
        <f>"IIHRX"</f>
        <v>IIHRX</v>
      </c>
      <c r="M667">
        <v>13</v>
      </c>
      <c r="N667">
        <v>310300105</v>
      </c>
      <c r="O667" t="str">
        <f t="shared" si="232"/>
        <v>次</v>
      </c>
      <c r="P667" t="str">
        <f t="shared" si="235"/>
        <v>治疗费</v>
      </c>
    </row>
    <row r="668" spans="1:16">
      <c r="A668" t="str">
        <f>"泪道探通术"</f>
        <v>泪道探通术</v>
      </c>
      <c r="B668">
        <v>310300106</v>
      </c>
      <c r="C668" t="str">
        <f t="shared" si="234"/>
        <v>其他</v>
      </c>
      <c r="D668" t="str">
        <f>"003103001060000"</f>
        <v>003103001060000</v>
      </c>
      <c r="G668">
        <v>15</v>
      </c>
      <c r="I668" t="str">
        <f t="shared" si="236"/>
        <v>次</v>
      </c>
      <c r="K668" t="str">
        <f>"LDTTS"</f>
        <v>LDTTS</v>
      </c>
      <c r="L668" t="str">
        <f>"IURCS"</f>
        <v>IURCS</v>
      </c>
      <c r="M668">
        <v>15</v>
      </c>
      <c r="N668">
        <v>310300106</v>
      </c>
      <c r="O668" t="str">
        <f t="shared" si="232"/>
        <v>次</v>
      </c>
      <c r="P668" t="str">
        <f t="shared" si="235"/>
        <v>治疗费</v>
      </c>
    </row>
    <row r="669" spans="1:16">
      <c r="A669" t="str">
        <f>"鼓膜穿刺术"</f>
        <v>鼓膜穿刺术</v>
      </c>
      <c r="B669">
        <v>310401040</v>
      </c>
      <c r="C669" t="str">
        <f t="shared" si="234"/>
        <v>其他</v>
      </c>
      <c r="D669" t="str">
        <f>"003104010400000"</f>
        <v>003104010400000</v>
      </c>
      <c r="G669">
        <v>39</v>
      </c>
      <c r="I669" t="str">
        <f t="shared" si="236"/>
        <v>次</v>
      </c>
      <c r="K669" t="str">
        <f>"GMCCS"</f>
        <v>GMCCS</v>
      </c>
      <c r="L669" t="str">
        <f>"FEPGS"</f>
        <v>FEPGS</v>
      </c>
      <c r="M669">
        <v>59</v>
      </c>
      <c r="N669">
        <v>310401040</v>
      </c>
      <c r="O669" t="str">
        <f t="shared" si="232"/>
        <v>次</v>
      </c>
      <c r="P669" t="str">
        <f t="shared" si="235"/>
        <v>治疗费</v>
      </c>
    </row>
    <row r="670" spans="1:16">
      <c r="A670" t="str">
        <f>"耵聍冲洗"</f>
        <v>耵聍冲洗</v>
      </c>
      <c r="B670">
        <v>310401041</v>
      </c>
      <c r="C670" t="str">
        <f t="shared" si="234"/>
        <v>其他</v>
      </c>
      <c r="D670" t="str">
        <f>"003104010410000"</f>
        <v>003104010410000</v>
      </c>
      <c r="G670">
        <v>3.9</v>
      </c>
      <c r="I670" t="str">
        <f>"-"</f>
        <v>-</v>
      </c>
      <c r="K670" t="str">
        <f>"CX"</f>
        <v>CX</v>
      </c>
      <c r="L670" t="str">
        <f>"BBUI"</f>
        <v>BBUI</v>
      </c>
      <c r="M670">
        <v>3.9</v>
      </c>
      <c r="N670">
        <v>310401041</v>
      </c>
      <c r="O670" t="str">
        <f t="shared" si="232"/>
        <v>次</v>
      </c>
      <c r="P670" t="str">
        <f t="shared" si="235"/>
        <v>治疗费</v>
      </c>
    </row>
    <row r="671" spans="1:16">
      <c r="A671" t="str">
        <f>"波氏法咽鼓管吹张"</f>
        <v>波氏法咽鼓管吹张</v>
      </c>
      <c r="B671">
        <v>310401043</v>
      </c>
      <c r="C671" t="str">
        <f t="shared" si="234"/>
        <v>其他</v>
      </c>
      <c r="D671" t="str">
        <f>"003104010430000"</f>
        <v>003104010430000</v>
      </c>
      <c r="G671">
        <v>3.9</v>
      </c>
      <c r="I671" t="str">
        <f t="shared" ref="I671:I688" si="237">"次"</f>
        <v>次</v>
      </c>
      <c r="K671" t="str">
        <f>"BSFYGGCZ"</f>
        <v>BSFYGGCZ</v>
      </c>
      <c r="L671" t="str">
        <f>"IQIKFTKX"</f>
        <v>IQIKFTKX</v>
      </c>
      <c r="M671">
        <v>3.9</v>
      </c>
      <c r="N671">
        <v>310401043</v>
      </c>
      <c r="O671" t="str">
        <f t="shared" si="232"/>
        <v>次</v>
      </c>
      <c r="P671" t="str">
        <f t="shared" si="235"/>
        <v>治疗费</v>
      </c>
    </row>
    <row r="672" spans="1:16">
      <c r="A672" t="str">
        <f>"导管法咽鼓管吹张"</f>
        <v>导管法咽鼓管吹张</v>
      </c>
      <c r="B672">
        <v>310401044</v>
      </c>
      <c r="C672" t="str">
        <f t="shared" si="234"/>
        <v>其他</v>
      </c>
      <c r="D672" t="str">
        <f>"003104010440000"</f>
        <v>003104010440000</v>
      </c>
      <c r="G672">
        <v>6.5</v>
      </c>
      <c r="I672" t="str">
        <f t="shared" si="237"/>
        <v>次</v>
      </c>
      <c r="K672" t="str">
        <f>"DGFYGGCZ"</f>
        <v>DGFYGGCZ</v>
      </c>
      <c r="L672" t="str">
        <f>"NTIKFTKX"</f>
        <v>NTIKFTKX</v>
      </c>
      <c r="M672">
        <v>6.5</v>
      </c>
      <c r="N672">
        <v>310401044</v>
      </c>
      <c r="O672" t="str">
        <f t="shared" si="232"/>
        <v>次</v>
      </c>
      <c r="P672" t="str">
        <f t="shared" si="235"/>
        <v>治疗费</v>
      </c>
    </row>
    <row r="673" spans="1:16">
      <c r="A673" t="str">
        <f>"耳神经阻滞"</f>
        <v>耳神经阻滞</v>
      </c>
      <c r="B673">
        <v>310401047</v>
      </c>
      <c r="C673" t="str">
        <f t="shared" si="234"/>
        <v>其他</v>
      </c>
      <c r="D673" t="str">
        <f>"003104010470000"</f>
        <v>003104010470000</v>
      </c>
      <c r="G673">
        <v>39</v>
      </c>
      <c r="I673" t="str">
        <f t="shared" si="237"/>
        <v>次</v>
      </c>
      <c r="K673" t="str">
        <f>"ESJZZ"</f>
        <v>ESJZZ</v>
      </c>
      <c r="L673" t="str">
        <f>"BPXBI"</f>
        <v>BPXBI</v>
      </c>
      <c r="M673">
        <v>39</v>
      </c>
      <c r="N673">
        <v>310401047</v>
      </c>
      <c r="O673" t="str">
        <f t="shared" si="232"/>
        <v>次</v>
      </c>
      <c r="P673" t="str">
        <f t="shared" si="235"/>
        <v>治疗费</v>
      </c>
    </row>
    <row r="674" spans="1:16">
      <c r="A674" t="str">
        <f>"耳廓假性囊肿穿刺压迫治疗"</f>
        <v>耳廓假性囊肿穿刺压迫治疗</v>
      </c>
      <c r="B674">
        <v>310401048</v>
      </c>
      <c r="C674" t="str">
        <f t="shared" si="234"/>
        <v>其他</v>
      </c>
      <c r="D674" t="str">
        <f>"003104010480000"</f>
        <v>003104010480000</v>
      </c>
      <c r="G674">
        <v>39</v>
      </c>
      <c r="I674" t="str">
        <f t="shared" si="237"/>
        <v>次</v>
      </c>
      <c r="K674" t="str">
        <f>"EKJXNZCCYPZL"</f>
        <v>EKJXNZCCYPZL</v>
      </c>
      <c r="L674" t="str">
        <f>"BYWNGEPGDRIU"</f>
        <v>BYWNGEPGDRIU</v>
      </c>
      <c r="M674">
        <v>39</v>
      </c>
      <c r="N674">
        <v>310401048</v>
      </c>
      <c r="O674" t="str">
        <f t="shared" si="232"/>
        <v>次</v>
      </c>
      <c r="P674" t="str">
        <f t="shared" si="235"/>
        <v>治疗费</v>
      </c>
    </row>
    <row r="675" spans="1:16">
      <c r="A675" t="str">
        <f>"耳部特殊治疗"</f>
        <v>耳部特殊治疗</v>
      </c>
      <c r="B675">
        <v>310401049</v>
      </c>
      <c r="C675" t="str">
        <f t="shared" si="234"/>
        <v>其他</v>
      </c>
      <c r="D675" t="str">
        <f>"003104010490000"</f>
        <v>003104010490000</v>
      </c>
      <c r="G675">
        <v>62</v>
      </c>
      <c r="I675" t="str">
        <f t="shared" si="237"/>
        <v>次</v>
      </c>
      <c r="K675" t="str">
        <f>"EBTSZL"</f>
        <v>EBTSZL</v>
      </c>
      <c r="L675" t="str">
        <f>"BUTGIU"</f>
        <v>BUTGIU</v>
      </c>
      <c r="M675">
        <v>62</v>
      </c>
      <c r="N675">
        <v>310401049</v>
      </c>
      <c r="O675" t="str">
        <f t="shared" si="232"/>
        <v>次</v>
      </c>
      <c r="P675" t="str">
        <f t="shared" si="235"/>
        <v>治疗费</v>
      </c>
    </row>
    <row r="676" spans="1:16">
      <c r="A676" t="str">
        <f>"前鼻镜检查"</f>
        <v>前鼻镜检查</v>
      </c>
      <c r="B676">
        <v>310402002</v>
      </c>
      <c r="C676" t="str">
        <f t="shared" si="234"/>
        <v>其他</v>
      </c>
      <c r="D676" t="str">
        <f>"003104020020000"</f>
        <v>003104020020000</v>
      </c>
      <c r="G676">
        <v>3.9</v>
      </c>
      <c r="I676" t="str">
        <f t="shared" si="237"/>
        <v>次</v>
      </c>
      <c r="K676" t="str">
        <f>"QBJJC"</f>
        <v>QBJJC</v>
      </c>
      <c r="L676" t="str">
        <f>"UTQSS"</f>
        <v>UTQSS</v>
      </c>
      <c r="M676">
        <v>3.9</v>
      </c>
      <c r="N676">
        <v>310402002</v>
      </c>
      <c r="O676" t="str">
        <f t="shared" si="232"/>
        <v>次</v>
      </c>
      <c r="P676" t="str">
        <f>"检查费"</f>
        <v>检查费</v>
      </c>
    </row>
    <row r="677" spans="1:16">
      <c r="A677" t="str">
        <f>"蝶窦穿刺活检术"</f>
        <v>蝶窦穿刺活检术</v>
      </c>
      <c r="B677">
        <v>310402011</v>
      </c>
      <c r="C677" t="str">
        <f t="shared" si="234"/>
        <v>其他</v>
      </c>
      <c r="D677" t="str">
        <f>"003104020110000"</f>
        <v>003104020110000</v>
      </c>
      <c r="G677">
        <v>65</v>
      </c>
      <c r="I677" t="str">
        <f t="shared" si="237"/>
        <v>次</v>
      </c>
      <c r="K677" t="str">
        <f>"DDCCHJS"</f>
        <v>DDCCHJS</v>
      </c>
      <c r="L677" t="str">
        <f>"JPPGISS"</f>
        <v>JPPGISS</v>
      </c>
      <c r="M677">
        <v>65</v>
      </c>
      <c r="N677">
        <v>310402011</v>
      </c>
      <c r="O677" t="str">
        <f t="shared" si="232"/>
        <v>次</v>
      </c>
      <c r="P677" t="str">
        <f t="shared" ref="P677:P685" si="238">"治疗费"</f>
        <v>治疗费</v>
      </c>
    </row>
    <row r="678" spans="1:16">
      <c r="A678" t="str">
        <f>"鼻腔冲洗"</f>
        <v>鼻腔冲洗</v>
      </c>
      <c r="B678">
        <v>310402012</v>
      </c>
      <c r="C678" t="str">
        <f t="shared" si="234"/>
        <v>其他</v>
      </c>
      <c r="D678" t="str">
        <f>"003104020120000"</f>
        <v>003104020120000</v>
      </c>
      <c r="G678">
        <v>20</v>
      </c>
      <c r="I678" t="str">
        <f t="shared" si="237"/>
        <v>次</v>
      </c>
      <c r="K678" t="str">
        <f>"BQCX"</f>
        <v>BQCX</v>
      </c>
      <c r="L678" t="str">
        <f>"TEUI"</f>
        <v>TEUI</v>
      </c>
      <c r="M678">
        <v>20</v>
      </c>
      <c r="N678">
        <v>310402012</v>
      </c>
      <c r="O678" t="str">
        <f t="shared" si="232"/>
        <v>次</v>
      </c>
      <c r="P678" t="str">
        <f t="shared" si="238"/>
        <v>治疗费</v>
      </c>
    </row>
    <row r="679" spans="1:16">
      <c r="A679" t="str">
        <f>"上颌窦穿刺术"</f>
        <v>上颌窦穿刺术</v>
      </c>
      <c r="B679">
        <v>310402014</v>
      </c>
      <c r="C679" t="str">
        <f t="shared" si="234"/>
        <v>其他</v>
      </c>
      <c r="D679" t="str">
        <f>"003104020140000"</f>
        <v>003104020140000</v>
      </c>
      <c r="G679">
        <v>39</v>
      </c>
      <c r="I679" t="str">
        <f t="shared" si="237"/>
        <v>次</v>
      </c>
      <c r="K679" t="str">
        <f>"SHDCCS"</f>
        <v>SHDCCS</v>
      </c>
      <c r="L679" t="str">
        <f>"HWPPGS"</f>
        <v>HWPPGS</v>
      </c>
      <c r="M679">
        <v>39</v>
      </c>
      <c r="N679">
        <v>310402014</v>
      </c>
      <c r="O679" t="str">
        <f t="shared" si="232"/>
        <v>次</v>
      </c>
      <c r="P679" t="str">
        <f t="shared" si="238"/>
        <v>治疗费</v>
      </c>
    </row>
    <row r="680" spans="1:16">
      <c r="A680" t="str">
        <f>"鼻窦冲洗"</f>
        <v>鼻窦冲洗</v>
      </c>
      <c r="B680">
        <v>310402015</v>
      </c>
      <c r="C680" t="str">
        <f t="shared" si="234"/>
        <v>其他</v>
      </c>
      <c r="D680" t="str">
        <f>"003104020150000"</f>
        <v>003104020150000</v>
      </c>
      <c r="G680">
        <v>26</v>
      </c>
      <c r="I680" t="str">
        <f t="shared" si="237"/>
        <v>次</v>
      </c>
      <c r="K680" t="str">
        <f>"BDCX"</f>
        <v>BDCX</v>
      </c>
      <c r="L680" t="str">
        <f>"TPUI"</f>
        <v>TPUI</v>
      </c>
      <c r="M680">
        <v>26</v>
      </c>
      <c r="N680">
        <v>310402015</v>
      </c>
      <c r="O680" t="str">
        <f t="shared" si="232"/>
        <v>次</v>
      </c>
      <c r="P680" t="str">
        <f t="shared" si="238"/>
        <v>治疗费</v>
      </c>
    </row>
    <row r="681" spans="1:16">
      <c r="A681" t="str">
        <f>"下鼻甲封闭术"</f>
        <v>下鼻甲封闭术</v>
      </c>
      <c r="B681">
        <v>310402017</v>
      </c>
      <c r="C681" t="str">
        <f t="shared" si="234"/>
        <v>其他</v>
      </c>
      <c r="D681" t="str">
        <f>"003104020170000"</f>
        <v>003104020170000</v>
      </c>
      <c r="G681">
        <v>26</v>
      </c>
      <c r="I681" t="str">
        <f t="shared" si="237"/>
        <v>次</v>
      </c>
      <c r="K681" t="str">
        <f>"XBJFBS"</f>
        <v>XBJFBS</v>
      </c>
      <c r="L681" t="str">
        <f>"GTLFUS"</f>
        <v>GTLFUS</v>
      </c>
      <c r="M681">
        <v>26</v>
      </c>
      <c r="N681">
        <v>310402017</v>
      </c>
      <c r="O681" t="str">
        <f t="shared" si="232"/>
        <v>次</v>
      </c>
      <c r="P681" t="str">
        <f t="shared" si="238"/>
        <v>治疗费</v>
      </c>
    </row>
    <row r="682" spans="1:16">
      <c r="A682" t="str">
        <f>"前鼻孔填塞"</f>
        <v>前鼻孔填塞</v>
      </c>
      <c r="B682">
        <v>310402022</v>
      </c>
      <c r="C682" t="str">
        <f t="shared" si="234"/>
        <v>其他</v>
      </c>
      <c r="D682" t="str">
        <f>"003104020220000"</f>
        <v>003104020220000</v>
      </c>
      <c r="G682">
        <v>33</v>
      </c>
      <c r="I682" t="str">
        <f t="shared" si="237"/>
        <v>次</v>
      </c>
      <c r="K682" t="str">
        <f>"QBKTS"</f>
        <v>QBKTS</v>
      </c>
      <c r="L682" t="str">
        <f>"UTBFP"</f>
        <v>UTBFP</v>
      </c>
      <c r="M682">
        <v>33</v>
      </c>
      <c r="N682">
        <v>310402022</v>
      </c>
      <c r="O682" t="str">
        <f t="shared" si="232"/>
        <v>次</v>
      </c>
      <c r="P682" t="str">
        <f t="shared" si="238"/>
        <v>治疗费</v>
      </c>
    </row>
    <row r="683" spans="1:16">
      <c r="A683" t="str">
        <f>"后鼻孔填塞"</f>
        <v>后鼻孔填塞</v>
      </c>
      <c r="B683">
        <v>310402023</v>
      </c>
      <c r="C683" t="str">
        <f t="shared" si="234"/>
        <v>其他</v>
      </c>
      <c r="D683" t="str">
        <f>"003104020230000"</f>
        <v>003104020230000</v>
      </c>
      <c r="G683">
        <v>39</v>
      </c>
      <c r="I683" t="str">
        <f t="shared" si="237"/>
        <v>次</v>
      </c>
      <c r="K683" t="str">
        <f>"HBKTS"</f>
        <v>HBKTS</v>
      </c>
      <c r="L683" t="str">
        <f>"RTBFP"</f>
        <v>RTBFP</v>
      </c>
      <c r="M683">
        <v>39</v>
      </c>
      <c r="N683">
        <v>310402023</v>
      </c>
      <c r="O683" t="str">
        <f t="shared" si="232"/>
        <v>次</v>
      </c>
      <c r="P683" t="str">
        <f t="shared" si="238"/>
        <v>治疗费</v>
      </c>
    </row>
    <row r="684" spans="1:16">
      <c r="A684" t="str">
        <f>"鼻异物取出"</f>
        <v>鼻异物取出</v>
      </c>
      <c r="B684">
        <v>310402024</v>
      </c>
      <c r="C684" t="str">
        <f t="shared" si="234"/>
        <v>其他</v>
      </c>
      <c r="D684" t="str">
        <f>"003104020240000"</f>
        <v>003104020240000</v>
      </c>
      <c r="G684">
        <v>20</v>
      </c>
      <c r="I684" t="str">
        <f t="shared" si="237"/>
        <v>次</v>
      </c>
      <c r="K684" t="str">
        <f>"BYWQC"</f>
        <v>BYWQC</v>
      </c>
      <c r="L684" t="str">
        <f>"TNTBB"</f>
        <v>TNTBB</v>
      </c>
      <c r="M684">
        <v>20</v>
      </c>
      <c r="N684">
        <v>310402024</v>
      </c>
      <c r="O684" t="str">
        <f t="shared" si="232"/>
        <v>次</v>
      </c>
      <c r="P684" t="str">
        <f t="shared" si="238"/>
        <v>治疗费</v>
      </c>
    </row>
    <row r="685" spans="1:16">
      <c r="A685" t="str">
        <f>"鼻部特殊治疗"</f>
        <v>鼻部特殊治疗</v>
      </c>
      <c r="B685">
        <v>310402025</v>
      </c>
      <c r="C685" t="str">
        <f t="shared" si="234"/>
        <v>其他</v>
      </c>
      <c r="D685" t="str">
        <f>"003104020250000"</f>
        <v>003104020250000</v>
      </c>
      <c r="G685">
        <v>33</v>
      </c>
      <c r="I685" t="str">
        <f t="shared" si="237"/>
        <v>次</v>
      </c>
      <c r="K685" t="str">
        <f>"BBTSZL"</f>
        <v>BBTSZL</v>
      </c>
      <c r="L685" t="str">
        <f>"TUTGIU"</f>
        <v>TUTGIU</v>
      </c>
      <c r="M685">
        <v>33</v>
      </c>
      <c r="N685">
        <v>310402025</v>
      </c>
      <c r="O685" t="str">
        <f t="shared" si="232"/>
        <v>次</v>
      </c>
      <c r="P685" t="str">
        <f t="shared" si="238"/>
        <v>治疗费</v>
      </c>
    </row>
    <row r="686" spans="1:16">
      <c r="A686" t="str">
        <f>"间接鼻咽镜检查"</f>
        <v>间接鼻咽镜检查</v>
      </c>
      <c r="B686">
        <v>310403007</v>
      </c>
      <c r="C686" t="str">
        <f t="shared" si="234"/>
        <v>其他</v>
      </c>
      <c r="D686" t="str">
        <f>"003104030070000"</f>
        <v>003104030070000</v>
      </c>
      <c r="G686">
        <v>20</v>
      </c>
      <c r="I686" t="str">
        <f t="shared" si="237"/>
        <v>次</v>
      </c>
      <c r="K686" t="str">
        <f>"JJBYJJC"</f>
        <v>JJBYJJC</v>
      </c>
      <c r="L686" t="str">
        <f>"URTKQSS"</f>
        <v>URTKQSS</v>
      </c>
      <c r="M686">
        <v>20</v>
      </c>
      <c r="N686">
        <v>310403007</v>
      </c>
      <c r="O686" t="str">
        <f t="shared" si="232"/>
        <v>次</v>
      </c>
      <c r="P686" t="str">
        <f>"检查费"</f>
        <v>检查费</v>
      </c>
    </row>
    <row r="687" spans="1:16">
      <c r="A687" t="str">
        <f>"间接喉镜检查"</f>
        <v>间接喉镜检查</v>
      </c>
      <c r="B687">
        <v>310403012</v>
      </c>
      <c r="C687" t="str">
        <f t="shared" si="234"/>
        <v>其他</v>
      </c>
      <c r="D687" t="str">
        <f>"003104030120000"</f>
        <v>003104030120000</v>
      </c>
      <c r="G687">
        <v>7.8</v>
      </c>
      <c r="I687" t="str">
        <f t="shared" si="237"/>
        <v>次</v>
      </c>
      <c r="K687" t="str">
        <f>"JJHJJC"</f>
        <v>JJHJJC</v>
      </c>
      <c r="L687" t="str">
        <f>"URKQSS"</f>
        <v>URKQSS</v>
      </c>
      <c r="M687">
        <v>7.8</v>
      </c>
      <c r="N687">
        <v>310403012</v>
      </c>
      <c r="O687" t="str">
        <f t="shared" si="232"/>
        <v>次</v>
      </c>
      <c r="P687" t="str">
        <f>"检查费"</f>
        <v>检查费</v>
      </c>
    </row>
    <row r="688" spans="1:16">
      <c r="A688" t="str">
        <f>"咽部特殊治疗"</f>
        <v>咽部特殊治疗</v>
      </c>
      <c r="B688">
        <v>310403016</v>
      </c>
      <c r="C688" t="str">
        <f t="shared" si="234"/>
        <v>其他</v>
      </c>
      <c r="D688" t="str">
        <f>"003104030160000"</f>
        <v>003104030160000</v>
      </c>
      <c r="G688">
        <v>33</v>
      </c>
      <c r="I688" t="str">
        <f t="shared" si="237"/>
        <v>次</v>
      </c>
      <c r="K688" t="str">
        <f>"YBTSZL"</f>
        <v>YBTSZL</v>
      </c>
      <c r="L688" t="str">
        <f>"KUTGIU"</f>
        <v>KUTGIU</v>
      </c>
      <c r="M688">
        <v>33</v>
      </c>
      <c r="N688">
        <v>310403016</v>
      </c>
      <c r="O688" t="str">
        <f t="shared" si="232"/>
        <v>次</v>
      </c>
      <c r="P688" t="str">
        <f t="shared" ref="P688:P692" si="239">"治疗费"</f>
        <v>治疗费</v>
      </c>
    </row>
    <row r="689" spans="1:16">
      <c r="A689" t="str">
        <f>"一次性口腔器械盒"</f>
        <v>一次性口腔器械盒</v>
      </c>
      <c r="B689" t="str">
        <f>"3105-2-5"</f>
        <v>3105-2-5</v>
      </c>
      <c r="C689" t="str">
        <f>"材料"</f>
        <v>材料</v>
      </c>
      <c r="G689">
        <v>4.08</v>
      </c>
      <c r="I689" t="str">
        <f>"包"</f>
        <v>包</v>
      </c>
      <c r="K689" t="str">
        <f>"YCXKQQXH"</f>
        <v>YCXKQQXH</v>
      </c>
      <c r="L689" t="str">
        <f>"GUNKEKSW"</f>
        <v>GUNKEKSW</v>
      </c>
      <c r="M689">
        <v>4.75</v>
      </c>
      <c r="O689" t="str">
        <f>"包"</f>
        <v>包</v>
      </c>
      <c r="P689" t="str">
        <f>"材料费"</f>
        <v>材料费</v>
      </c>
    </row>
    <row r="690" spans="1:16">
      <c r="A690" t="str">
        <f>"唾液流量测定"</f>
        <v>唾液流量测定</v>
      </c>
      <c r="B690">
        <v>310501006</v>
      </c>
      <c r="C690" t="str">
        <f t="shared" ref="C690:C696" si="240">"其他"</f>
        <v>其他</v>
      </c>
      <c r="D690" t="str">
        <f>"003105010060000"</f>
        <v>003105010060000</v>
      </c>
      <c r="G690">
        <v>6</v>
      </c>
      <c r="I690" t="str">
        <f t="shared" ref="I690:I702" si="241">"次"</f>
        <v>次</v>
      </c>
      <c r="K690" t="str">
        <f>"TYLLCD"</f>
        <v>TYLLCD</v>
      </c>
      <c r="L690" t="str">
        <f>"KIIJIP"</f>
        <v>KIIJIP</v>
      </c>
      <c r="M690">
        <v>6</v>
      </c>
      <c r="N690">
        <v>310501006</v>
      </c>
      <c r="O690" t="str">
        <f t="shared" ref="O690:O705" si="242">"次"</f>
        <v>次</v>
      </c>
      <c r="P690" t="str">
        <f t="shared" si="239"/>
        <v>治疗费</v>
      </c>
    </row>
    <row r="691" spans="1:16">
      <c r="A691" t="str">
        <f>"口腔模型制备"</f>
        <v>口腔模型制备</v>
      </c>
      <c r="B691">
        <v>310501007</v>
      </c>
      <c r="C691" t="str">
        <f t="shared" si="240"/>
        <v>其他</v>
      </c>
      <c r="D691" t="str">
        <f>"003105010070000"</f>
        <v>003105010070000</v>
      </c>
      <c r="G691">
        <v>24</v>
      </c>
      <c r="I691" t="str">
        <f>"单颌"</f>
        <v>单颌</v>
      </c>
      <c r="K691" t="str">
        <f>"KQMXZB"</f>
        <v>KQMXZB</v>
      </c>
      <c r="L691" t="str">
        <f>"KESGRT"</f>
        <v>KESGRT</v>
      </c>
      <c r="M691">
        <v>24</v>
      </c>
      <c r="N691">
        <v>310501007</v>
      </c>
      <c r="O691" t="str">
        <f>"单颌"</f>
        <v>单颌</v>
      </c>
      <c r="P691" t="str">
        <f t="shared" si="239"/>
        <v>治疗费</v>
      </c>
    </row>
    <row r="692" spans="1:16">
      <c r="A692" t="str">
        <f>"常规面像检查"</f>
        <v>常规面像检查</v>
      </c>
      <c r="B692">
        <v>310501010</v>
      </c>
      <c r="C692" t="str">
        <f t="shared" si="240"/>
        <v>其他</v>
      </c>
      <c r="D692" t="str">
        <f>"003105010100000"</f>
        <v>003105010100000</v>
      </c>
      <c r="G692">
        <v>2.4</v>
      </c>
      <c r="I692" t="str">
        <f t="shared" si="241"/>
        <v>次</v>
      </c>
      <c r="K692" t="str">
        <f>"CGMXJC"</f>
        <v>CGMXJC</v>
      </c>
      <c r="L692" t="str">
        <f>"IFDWSS"</f>
        <v>IFDWSS</v>
      </c>
      <c r="M692">
        <v>2.4</v>
      </c>
      <c r="N692">
        <v>310501010</v>
      </c>
      <c r="O692" t="str">
        <f t="shared" si="242"/>
        <v>次</v>
      </c>
      <c r="P692" t="str">
        <f t="shared" si="239"/>
        <v>治疗费</v>
      </c>
    </row>
    <row r="693" spans="1:16">
      <c r="A693" t="str">
        <f>"口腔内镜检查"</f>
        <v>口腔内镜检查</v>
      </c>
      <c r="B693">
        <v>310501011</v>
      </c>
      <c r="C693" t="str">
        <f t="shared" si="240"/>
        <v>其他</v>
      </c>
      <c r="D693" t="str">
        <f>"003105010110000"</f>
        <v>003105010110000</v>
      </c>
      <c r="G693">
        <v>12</v>
      </c>
      <c r="I693" t="str">
        <f>"-"</f>
        <v>-</v>
      </c>
      <c r="K693" t="str">
        <f>"KQNJJC"</f>
        <v>KQNJJC</v>
      </c>
      <c r="L693" t="str">
        <f>"KEMQSS"</f>
        <v>KEMQSS</v>
      </c>
      <c r="M693">
        <v>12</v>
      </c>
      <c r="N693">
        <v>310501011</v>
      </c>
      <c r="O693" t="str">
        <f>"每牙"</f>
        <v>每牙</v>
      </c>
      <c r="P693" t="str">
        <f t="shared" ref="P693:P697" si="243">"检查费"</f>
        <v>检查费</v>
      </c>
    </row>
    <row r="694" spans="1:16">
      <c r="A694" t="str">
        <f>"菌斑微生物检测"</f>
        <v>菌斑微生物检测</v>
      </c>
      <c r="B694">
        <v>310503005</v>
      </c>
      <c r="C694" t="str">
        <f t="shared" si="240"/>
        <v>其他</v>
      </c>
      <c r="D694" t="str">
        <f>"003105030050000"</f>
        <v>003105030050000</v>
      </c>
      <c r="G694">
        <v>4.8</v>
      </c>
      <c r="I694" t="str">
        <f t="shared" si="241"/>
        <v>次</v>
      </c>
      <c r="K694" t="str">
        <f>"JBWSWJC"</f>
        <v>JBWSWJC</v>
      </c>
      <c r="L694" t="str">
        <f>"AGTTTSI"</f>
        <v>AGTTTSI</v>
      </c>
      <c r="M694">
        <v>4.8</v>
      </c>
      <c r="N694">
        <v>310503005</v>
      </c>
      <c r="O694" t="str">
        <f t="shared" si="242"/>
        <v>次</v>
      </c>
      <c r="P694" t="str">
        <f t="shared" si="243"/>
        <v>检查费</v>
      </c>
    </row>
    <row r="695" spans="1:16">
      <c r="A695" t="str">
        <f>"面神经功能主观检测"</f>
        <v>面神经功能主观检测</v>
      </c>
      <c r="B695">
        <v>310504001</v>
      </c>
      <c r="C695" t="str">
        <f t="shared" si="240"/>
        <v>其他</v>
      </c>
      <c r="D695" t="str">
        <f>"003105040010000"</f>
        <v>003105040010000</v>
      </c>
      <c r="G695">
        <v>12</v>
      </c>
      <c r="I695" t="str">
        <f t="shared" si="241"/>
        <v>次</v>
      </c>
      <c r="K695" t="str">
        <f>"MSJGNZGJC"</f>
        <v>MSJGNZGJC</v>
      </c>
      <c r="L695" t="str">
        <f>"DPXACYCSI"</f>
        <v>DPXACYCSI</v>
      </c>
      <c r="M695">
        <v>12</v>
      </c>
      <c r="N695">
        <v>310504001</v>
      </c>
      <c r="O695" t="str">
        <f t="shared" si="242"/>
        <v>次</v>
      </c>
      <c r="P695" t="str">
        <f t="shared" ref="P695:P702" si="244">"治疗费"</f>
        <v>治疗费</v>
      </c>
    </row>
    <row r="696" spans="1:16">
      <c r="A696" t="str">
        <f>"面神经功能电脑检测"</f>
        <v>面神经功能电脑检测</v>
      </c>
      <c r="B696">
        <v>310504002</v>
      </c>
      <c r="C696" t="str">
        <f t="shared" si="240"/>
        <v>其他</v>
      </c>
      <c r="D696" t="str">
        <f>"003105040020000"</f>
        <v>003105040020000</v>
      </c>
      <c r="G696">
        <v>18</v>
      </c>
      <c r="I696" t="str">
        <f t="shared" si="241"/>
        <v>次</v>
      </c>
      <c r="K696" t="str">
        <f>"MSJGNDNJC"</f>
        <v>MSJGNDNJC</v>
      </c>
      <c r="L696" t="str">
        <f>"DPXACJESI"</f>
        <v>DPXACJESI</v>
      </c>
      <c r="M696">
        <v>18</v>
      </c>
      <c r="N696">
        <v>310504002</v>
      </c>
      <c r="O696" t="str">
        <f t="shared" si="242"/>
        <v>次</v>
      </c>
      <c r="P696" t="str">
        <f t="shared" si="244"/>
        <v>治疗费</v>
      </c>
    </row>
    <row r="697" spans="1:16">
      <c r="A697" t="str">
        <f>"腭咽闭合功能检查"</f>
        <v>腭咽闭合功能检查</v>
      </c>
      <c r="B697">
        <v>310504004</v>
      </c>
      <c r="C697" t="str">
        <f>"检查"</f>
        <v>检查</v>
      </c>
      <c r="D697" t="str">
        <f>"003105040040000"</f>
        <v>003105040040000</v>
      </c>
      <c r="G697">
        <v>48</v>
      </c>
      <c r="I697" t="str">
        <f t="shared" si="241"/>
        <v>次</v>
      </c>
      <c r="K697" t="str">
        <f>"EYBHGNJC"</f>
        <v>EYBHGNJC</v>
      </c>
      <c r="L697" t="str">
        <f>"EKUWACSS"</f>
        <v>EKUWACSS</v>
      </c>
      <c r="M697">
        <v>48</v>
      </c>
      <c r="N697">
        <v>310504004</v>
      </c>
      <c r="O697" t="str">
        <f t="shared" si="242"/>
        <v>次</v>
      </c>
      <c r="P697" t="str">
        <f t="shared" si="243"/>
        <v>检查费</v>
      </c>
    </row>
    <row r="698" spans="1:16">
      <c r="A698" t="str">
        <f>"云纹仪检查"</f>
        <v>云纹仪检查</v>
      </c>
      <c r="B698">
        <v>310505002</v>
      </c>
      <c r="C698" t="str">
        <f t="shared" ref="C698:C702" si="245">"其他"</f>
        <v>其他</v>
      </c>
      <c r="D698" t="str">
        <f>"003105050020000"</f>
        <v>003105050020000</v>
      </c>
      <c r="G698">
        <v>18</v>
      </c>
      <c r="I698" t="str">
        <f t="shared" si="241"/>
        <v>次</v>
      </c>
      <c r="K698" t="str">
        <f>"YWYJC"</f>
        <v>YWYJC</v>
      </c>
      <c r="L698" t="str">
        <f>"FXWSS"</f>
        <v>FXWSS</v>
      </c>
      <c r="M698">
        <v>18</v>
      </c>
      <c r="N698">
        <v>310505002</v>
      </c>
      <c r="O698" t="str">
        <f t="shared" si="242"/>
        <v>次</v>
      </c>
      <c r="P698" t="str">
        <f t="shared" si="244"/>
        <v>治疗费</v>
      </c>
    </row>
    <row r="699" spans="1:16">
      <c r="A699" t="str">
        <f>"模型外科设计"</f>
        <v>模型外科设计</v>
      </c>
      <c r="B699">
        <v>310505003</v>
      </c>
      <c r="C699" t="str">
        <f t="shared" si="245"/>
        <v>其他</v>
      </c>
      <c r="D699" t="str">
        <f>"003105050030000"</f>
        <v>003105050030000</v>
      </c>
      <c r="G699">
        <v>60</v>
      </c>
      <c r="I699" t="str">
        <f t="shared" si="241"/>
        <v>次</v>
      </c>
      <c r="K699" t="str">
        <f>"MXWKSJ"</f>
        <v>MXWKSJ</v>
      </c>
      <c r="L699" t="str">
        <f>"SGQTYY"</f>
        <v>SGQTYY</v>
      </c>
      <c r="M699">
        <v>60</v>
      </c>
      <c r="N699">
        <v>310505003</v>
      </c>
      <c r="O699" t="str">
        <f t="shared" si="242"/>
        <v>次</v>
      </c>
      <c r="P699" t="str">
        <f t="shared" si="244"/>
        <v>治疗费</v>
      </c>
    </row>
    <row r="700" spans="1:16">
      <c r="A700" t="str">
        <f>"颞颌关节系统检查设计"</f>
        <v>颞颌关节系统检查设计</v>
      </c>
      <c r="B700">
        <v>310506001</v>
      </c>
      <c r="C700" t="str">
        <f t="shared" si="245"/>
        <v>其他</v>
      </c>
      <c r="D700" t="str">
        <f>"003105060010000"</f>
        <v>003105060010000</v>
      </c>
      <c r="G700">
        <v>12</v>
      </c>
      <c r="I700" t="str">
        <f t="shared" si="241"/>
        <v>次</v>
      </c>
      <c r="K700" t="str">
        <f>"NHGJXTJCSJ"</f>
        <v>NHGJXTJCSJ</v>
      </c>
      <c r="L700" t="str">
        <f>"BWUATXSSYY"</f>
        <v>BWUATXSSYY</v>
      </c>
      <c r="M700">
        <v>12</v>
      </c>
      <c r="N700">
        <v>310506001</v>
      </c>
      <c r="O700" t="str">
        <f t="shared" si="242"/>
        <v>次</v>
      </c>
      <c r="P700" t="str">
        <f t="shared" si="244"/>
        <v>治疗费</v>
      </c>
    </row>
    <row r="701" spans="1:16">
      <c r="A701" t="str">
        <f>"颞颌关节镜检查"</f>
        <v>颞颌关节镜检查</v>
      </c>
      <c r="B701">
        <v>310506002</v>
      </c>
      <c r="C701" t="str">
        <f t="shared" si="245"/>
        <v>其他</v>
      </c>
      <c r="D701" t="str">
        <f>"003105060020000"</f>
        <v>003105060020000</v>
      </c>
      <c r="G701">
        <v>48</v>
      </c>
      <c r="I701" t="str">
        <f t="shared" si="241"/>
        <v>次</v>
      </c>
      <c r="K701" t="str">
        <f>"NHGJJJC"</f>
        <v>NHGJJJC</v>
      </c>
      <c r="L701" t="str">
        <f>"BWUAQSS"</f>
        <v>BWUAQSS</v>
      </c>
      <c r="M701">
        <v>48</v>
      </c>
      <c r="N701">
        <v>310506002</v>
      </c>
      <c r="O701" t="str">
        <f t="shared" si="242"/>
        <v>次</v>
      </c>
      <c r="P701" t="str">
        <f t="shared" si="244"/>
        <v>治疗费</v>
      </c>
    </row>
    <row r="702" spans="1:16">
      <c r="A702" t="str">
        <f>"关节腔压力测定"</f>
        <v>关节腔压力测定</v>
      </c>
      <c r="B702">
        <v>310506003</v>
      </c>
      <c r="C702" t="str">
        <f t="shared" si="245"/>
        <v>其他</v>
      </c>
      <c r="D702" t="str">
        <f>"003105060030000"</f>
        <v>003105060030000</v>
      </c>
      <c r="G702">
        <v>12</v>
      </c>
      <c r="I702" t="str">
        <f t="shared" si="241"/>
        <v>次</v>
      </c>
      <c r="K702" t="str">
        <f>"GJQYLCD"</f>
        <v>GJQYLCD</v>
      </c>
      <c r="L702" t="str">
        <f>"UAEDLIP"</f>
        <v>UAEDLIP</v>
      </c>
      <c r="M702">
        <v>12</v>
      </c>
      <c r="N702">
        <v>310506003</v>
      </c>
      <c r="O702" t="str">
        <f t="shared" si="242"/>
        <v>次</v>
      </c>
      <c r="P702" t="str">
        <f t="shared" si="244"/>
        <v>治疗费</v>
      </c>
    </row>
    <row r="703" spans="1:16">
      <c r="A703" t="str">
        <f>"光仪检查"</f>
        <v>光仪检查</v>
      </c>
      <c r="B703">
        <v>310508001</v>
      </c>
      <c r="C703" t="str">
        <f>"检查"</f>
        <v>检查</v>
      </c>
      <c r="D703" t="str">
        <f>"003105080010000"</f>
        <v>003105080010000</v>
      </c>
      <c r="G703">
        <v>42</v>
      </c>
      <c r="I703">
        <v>1</v>
      </c>
      <c r="K703" t="str">
        <f>"GYJC"</f>
        <v>GYJC</v>
      </c>
      <c r="L703" t="str">
        <f>"IWSS"</f>
        <v>IWSS</v>
      </c>
      <c r="M703">
        <v>42</v>
      </c>
      <c r="N703">
        <v>310508001</v>
      </c>
      <c r="O703" t="str">
        <f t="shared" si="242"/>
        <v>次</v>
      </c>
      <c r="P703" t="str">
        <f>"检查费"</f>
        <v>检查费</v>
      </c>
    </row>
    <row r="704" spans="1:16">
      <c r="A704" t="str">
        <f>"测色仪检查"</f>
        <v>测色仪检查</v>
      </c>
      <c r="B704">
        <v>310508002</v>
      </c>
      <c r="C704" t="str">
        <f>"检查"</f>
        <v>检查</v>
      </c>
      <c r="D704" t="str">
        <f>"003105080020000"</f>
        <v>003105080020000</v>
      </c>
      <c r="G704">
        <v>4.8</v>
      </c>
      <c r="I704" t="str">
        <f t="shared" ref="I704:I708" si="246">"次"</f>
        <v>次</v>
      </c>
      <c r="K704" t="str">
        <f>"CSYJC"</f>
        <v>CSYJC</v>
      </c>
      <c r="L704" t="str">
        <f>"IQWSS"</f>
        <v>IQWSS</v>
      </c>
      <c r="M704">
        <v>4.8</v>
      </c>
      <c r="N704">
        <v>310508002</v>
      </c>
      <c r="O704" t="str">
        <f t="shared" si="242"/>
        <v>次</v>
      </c>
      <c r="P704" t="str">
        <f>"检查费"</f>
        <v>检查费</v>
      </c>
    </row>
    <row r="705" spans="1:16">
      <c r="A705" t="str">
        <f>"触痛仪检查"</f>
        <v>触痛仪检查</v>
      </c>
      <c r="B705">
        <v>310508004</v>
      </c>
      <c r="C705" t="str">
        <f t="shared" ref="C705:C708" si="247">"其他"</f>
        <v>其他</v>
      </c>
      <c r="D705" t="str">
        <f>"003105080040000"</f>
        <v>003105080040000</v>
      </c>
      <c r="G705">
        <v>2.4</v>
      </c>
      <c r="I705" t="str">
        <f t="shared" si="246"/>
        <v>次</v>
      </c>
      <c r="K705" t="str">
        <f>"CTYJC"</f>
        <v>CTYJC</v>
      </c>
      <c r="L705" t="str">
        <f>"QUWSS"</f>
        <v>QUWSS</v>
      </c>
      <c r="M705">
        <v>2.4</v>
      </c>
      <c r="N705">
        <v>310508004</v>
      </c>
      <c r="O705" t="str">
        <f t="shared" si="242"/>
        <v>次</v>
      </c>
      <c r="P705" t="str">
        <f t="shared" ref="P705:P708" si="248">"治疗费"</f>
        <v>治疗费</v>
      </c>
    </row>
    <row r="706" spans="1:16">
      <c r="A706" t="str">
        <f>"吸收性明胶海绵"</f>
        <v>吸收性明胶海绵</v>
      </c>
      <c r="B706" t="str">
        <f>"310510007-2"</f>
        <v>310510007-2</v>
      </c>
      <c r="C706" t="str">
        <f t="shared" ref="C706:C711" si="249">"材料"</f>
        <v>材料</v>
      </c>
      <c r="D706" t="str">
        <f>"C1501052120100600548"</f>
        <v>C1501052120100600548</v>
      </c>
      <c r="G706">
        <v>5</v>
      </c>
      <c r="I706" t="str">
        <f>"包"</f>
        <v>包</v>
      </c>
      <c r="K706" t="str">
        <f>"XSXMJHM"</f>
        <v>XSXMJHM</v>
      </c>
      <c r="L706" t="str">
        <f>"KNNJEIX"</f>
        <v>KNNJEIX</v>
      </c>
      <c r="M706">
        <v>5</v>
      </c>
      <c r="N706" t="str">
        <f>"310510007-2"</f>
        <v>310510007-2</v>
      </c>
      <c r="O706" t="str">
        <f>"包"</f>
        <v>包</v>
      </c>
      <c r="P706" t="str">
        <f t="shared" ref="P706:P711" si="250">"材料费"</f>
        <v>材料费</v>
      </c>
    </row>
    <row r="707" spans="1:16">
      <c r="A707" t="str">
        <f>"激光口内治疗"</f>
        <v>激光口内治疗</v>
      </c>
      <c r="B707">
        <v>310510008</v>
      </c>
      <c r="C707" t="str">
        <f t="shared" si="247"/>
        <v>其他</v>
      </c>
      <c r="D707" t="str">
        <f>"003105100080000"</f>
        <v>003105100080000</v>
      </c>
      <c r="G707">
        <v>18</v>
      </c>
      <c r="I707" t="str">
        <f>"每部位"</f>
        <v>每部位</v>
      </c>
      <c r="K707" t="str">
        <f>"JGKNZL"</f>
        <v>JGKNZL</v>
      </c>
      <c r="L707" t="str">
        <f>"IIKMIU"</f>
        <v>IIKMIU</v>
      </c>
      <c r="M707">
        <v>18</v>
      </c>
      <c r="N707">
        <v>310510008</v>
      </c>
      <c r="O707" t="str">
        <f>"每部位"</f>
        <v>每部位</v>
      </c>
      <c r="P707" t="str">
        <f t="shared" si="248"/>
        <v>治疗费</v>
      </c>
    </row>
    <row r="708" spans="1:16">
      <c r="A708" t="str">
        <f>"口腔活检术"</f>
        <v>口腔活检术</v>
      </c>
      <c r="B708">
        <v>310510012</v>
      </c>
      <c r="C708" t="str">
        <f t="shared" si="247"/>
        <v>其他</v>
      </c>
      <c r="D708" t="str">
        <f>"003105100120000"</f>
        <v>003105100120000</v>
      </c>
      <c r="G708">
        <v>132</v>
      </c>
      <c r="I708" t="str">
        <f t="shared" si="246"/>
        <v>次</v>
      </c>
      <c r="K708" t="str">
        <f>"KQHJS"</f>
        <v>KQHJS</v>
      </c>
      <c r="L708" t="str">
        <f>"KEISS"</f>
        <v>KEISS</v>
      </c>
      <c r="M708">
        <v>132</v>
      </c>
      <c r="N708">
        <v>310510012</v>
      </c>
      <c r="O708" t="str">
        <f>"次"</f>
        <v>次</v>
      </c>
      <c r="P708" t="str">
        <f t="shared" si="248"/>
        <v>治疗费</v>
      </c>
    </row>
    <row r="709" spans="1:16">
      <c r="A709" t="str">
        <f>"Dycal自凝氢氧化钙"</f>
        <v>Dycal自凝氢氧化钙</v>
      </c>
      <c r="B709" t="str">
        <f>"310511001-1-3"</f>
        <v>310511001-1-3</v>
      </c>
      <c r="C709" t="str">
        <f t="shared" si="249"/>
        <v>材料</v>
      </c>
      <c r="D709" t="str">
        <f>"C0703031400000003434"</f>
        <v>C0703031400000003434</v>
      </c>
      <c r="G709">
        <v>10</v>
      </c>
      <c r="I709" t="str">
        <f>"牙"</f>
        <v>牙</v>
      </c>
      <c r="K709" t="str">
        <f>"DYCALZNQYHG"</f>
        <v>DYCALZNQYHG</v>
      </c>
      <c r="L709" t="str">
        <f>"DYCALTURRWQ"</f>
        <v>DYCALTURRWQ</v>
      </c>
      <c r="M709">
        <v>10</v>
      </c>
      <c r="N709" t="str">
        <f>"310511001-1-3"</f>
        <v>310511001-1-3</v>
      </c>
      <c r="O709" t="str">
        <f t="shared" ref="O709:O713" si="251">"每牙"</f>
        <v>每牙</v>
      </c>
      <c r="P709" t="str">
        <f t="shared" si="250"/>
        <v>材料费</v>
      </c>
    </row>
    <row r="710" spans="1:16">
      <c r="A710" t="str">
        <f>"单组分光固化自酸蚀粘接剂"</f>
        <v>单组分光固化自酸蚀粘接剂</v>
      </c>
      <c r="B710" t="str">
        <f>"310511004-1-21"</f>
        <v>310511004-1-21</v>
      </c>
      <c r="C710" t="str">
        <f t="shared" si="249"/>
        <v>材料</v>
      </c>
      <c r="G710">
        <v>1.6</v>
      </c>
      <c r="I710" t="str">
        <f>"5ml*1"</f>
        <v>5ml*1</v>
      </c>
      <c r="K710" t="str">
        <f>"DZFGGHZSSZJJ"</f>
        <v>DZFGGHZSSZJJ</v>
      </c>
      <c r="L710" t="str">
        <f>"UXWILWTSQORY"</f>
        <v>UXWILWTSQORY</v>
      </c>
      <c r="M710">
        <v>349.2</v>
      </c>
      <c r="O710" t="str">
        <f>"项"</f>
        <v>项</v>
      </c>
      <c r="P710" t="str">
        <f t="shared" si="250"/>
        <v>材料费</v>
      </c>
    </row>
    <row r="711" spans="1:16">
      <c r="A711" t="str">
        <f>"玻璃离子水门汀"</f>
        <v>玻璃离子水门汀</v>
      </c>
      <c r="B711" t="str">
        <f>"310511004-1-8"</f>
        <v>310511004-1-8</v>
      </c>
      <c r="C711" t="str">
        <f t="shared" si="249"/>
        <v>材料</v>
      </c>
      <c r="G711">
        <v>14</v>
      </c>
      <c r="I711" t="str">
        <f>"1瓶12.5g粉"</f>
        <v>1瓶12.5g粉</v>
      </c>
      <c r="K711" t="str">
        <f>"BLLZSMT"</f>
        <v>BLLZSMT</v>
      </c>
      <c r="L711" t="str">
        <f>"GGYBIUI"</f>
        <v>GGYBIUI</v>
      </c>
      <c r="M711">
        <v>375</v>
      </c>
      <c r="O711" t="str">
        <f>"套"</f>
        <v>套</v>
      </c>
      <c r="P711" t="str">
        <f t="shared" si="250"/>
        <v>材料费</v>
      </c>
    </row>
    <row r="712" spans="1:16">
      <c r="A712" t="str">
        <f>"牙脱色术"</f>
        <v>牙脱色术</v>
      </c>
      <c r="B712">
        <v>310511009</v>
      </c>
      <c r="C712" t="str">
        <f t="shared" ref="C712:C716" si="252">"其他"</f>
        <v>其他</v>
      </c>
      <c r="D712" t="str">
        <f>"003105110090000"</f>
        <v>003105110090000</v>
      </c>
      <c r="G712">
        <v>7.2</v>
      </c>
      <c r="I712" t="str">
        <f>"每牙"</f>
        <v>每牙</v>
      </c>
      <c r="K712" t="str">
        <f>"YTSS"</f>
        <v>YTSS</v>
      </c>
      <c r="L712" t="str">
        <f>"AEQS"</f>
        <v>AEQS</v>
      </c>
      <c r="M712">
        <v>7.2</v>
      </c>
      <c r="N712">
        <v>310511009</v>
      </c>
      <c r="O712" t="str">
        <f t="shared" si="251"/>
        <v>每牙</v>
      </c>
      <c r="P712" t="str">
        <f t="shared" ref="P712:P719" si="253">"治疗费"</f>
        <v>治疗费</v>
      </c>
    </row>
    <row r="713" spans="1:16">
      <c r="A713" t="str">
        <f>"牙髓失活术"</f>
        <v>牙髓失活术</v>
      </c>
      <c r="B713">
        <v>310511012</v>
      </c>
      <c r="C713" t="str">
        <f t="shared" si="252"/>
        <v>其他</v>
      </c>
      <c r="D713" t="str">
        <f>"003105110120000"</f>
        <v>003105110120000</v>
      </c>
      <c r="G713">
        <v>24</v>
      </c>
      <c r="I713" t="str">
        <f>"每牙"</f>
        <v>每牙</v>
      </c>
      <c r="K713" t="str">
        <f>"YSSHS"</f>
        <v>YSSHS</v>
      </c>
      <c r="L713" t="str">
        <f>"AMRIS"</f>
        <v>AMRIS</v>
      </c>
      <c r="M713">
        <v>24</v>
      </c>
      <c r="N713">
        <v>310511012</v>
      </c>
      <c r="O713" t="str">
        <f t="shared" si="251"/>
        <v>每牙</v>
      </c>
      <c r="P713" t="str">
        <f t="shared" si="253"/>
        <v>治疗费</v>
      </c>
    </row>
    <row r="714" spans="1:16">
      <c r="A714" t="str">
        <f>"齿科根管充填材料"</f>
        <v>齿科根管充填材料</v>
      </c>
      <c r="B714" t="str">
        <f>"310511017-1-6"</f>
        <v>310511017-1-6</v>
      </c>
      <c r="C714" t="str">
        <f>"材料"</f>
        <v>材料</v>
      </c>
      <c r="G714">
        <v>25</v>
      </c>
      <c r="I714" t="str">
        <f>"5mL／盒"</f>
        <v>5mL／盒</v>
      </c>
      <c r="K714" t="str">
        <f>"CKGGCTCL"</f>
        <v>CKGGCTCL</v>
      </c>
      <c r="L714" t="str">
        <f>"HTSTYFSO"</f>
        <v>HTSTYFSO</v>
      </c>
      <c r="M714">
        <v>523</v>
      </c>
      <c r="O714" t="str">
        <f>"盒"</f>
        <v>盒</v>
      </c>
      <c r="P714" t="str">
        <f>"材料费"</f>
        <v>材料费</v>
      </c>
    </row>
    <row r="715" spans="1:16">
      <c r="A715" t="str">
        <f>"齿科根管填充材料（根）"</f>
        <v>齿科根管填充材料（根）</v>
      </c>
      <c r="B715" t="str">
        <f>"310511017-1-a"</f>
        <v>310511017-1-a</v>
      </c>
      <c r="C715" t="str">
        <f>"材料"</f>
        <v>材料</v>
      </c>
      <c r="G715">
        <v>7.8</v>
      </c>
      <c r="I715" t="str">
        <f>"根"</f>
        <v>根</v>
      </c>
      <c r="K715" t="str">
        <f>"CKGGTCCLG"</f>
        <v>CKGGTCCLG</v>
      </c>
      <c r="L715" t="str">
        <f>"HTSTFYSOS"</f>
        <v>HTSTFYSOS</v>
      </c>
      <c r="M715">
        <v>25</v>
      </c>
      <c r="O715" t="str">
        <f>"每根"</f>
        <v>每根</v>
      </c>
      <c r="P715" t="str">
        <f>"材料费"</f>
        <v>材料费</v>
      </c>
    </row>
    <row r="716" spans="1:16">
      <c r="A716" t="str">
        <f>"牙髓塑化治疗术"</f>
        <v>牙髓塑化治疗术</v>
      </c>
      <c r="B716">
        <v>310511020</v>
      </c>
      <c r="C716" t="str">
        <f t="shared" si="252"/>
        <v>其他</v>
      </c>
      <c r="D716" t="str">
        <f>"003105110200000"</f>
        <v>003105110200000</v>
      </c>
      <c r="G716">
        <v>36</v>
      </c>
      <c r="I716" t="str">
        <f t="shared" ref="I716:I720" si="254">"-"</f>
        <v>-</v>
      </c>
      <c r="K716" t="str">
        <f>"YSSHZLS"</f>
        <v>YSSHZLS</v>
      </c>
      <c r="L716" t="str">
        <f>"AMUWIUS"</f>
        <v>AMUWIUS</v>
      </c>
      <c r="M716">
        <v>36</v>
      </c>
      <c r="N716">
        <v>310511020</v>
      </c>
      <c r="O716" t="str">
        <f>"每根管"</f>
        <v>每根管</v>
      </c>
      <c r="P716" t="str">
        <f t="shared" si="253"/>
        <v>治疗费</v>
      </c>
    </row>
    <row r="717" spans="1:16">
      <c r="A717" t="str">
        <f>"根管扩通术"</f>
        <v>根管扩通术</v>
      </c>
      <c r="B717" t="str">
        <f>"310511021-2"</f>
        <v>310511021-2</v>
      </c>
      <c r="C717" t="str">
        <f>"治疗"</f>
        <v>治疗</v>
      </c>
      <c r="G717">
        <v>40</v>
      </c>
      <c r="I717" t="str">
        <f t="shared" ref="I717:I721" si="255">"项"</f>
        <v>项</v>
      </c>
      <c r="K717" t="str">
        <f>"GGKTS"</f>
        <v>GGKTS</v>
      </c>
      <c r="L717" t="str">
        <f>"STRCS"</f>
        <v>STRCS</v>
      </c>
      <c r="M717">
        <v>40</v>
      </c>
      <c r="N717">
        <v>310511021</v>
      </c>
      <c r="O717" t="str">
        <f>"项"</f>
        <v>项</v>
      </c>
      <c r="P717" t="str">
        <f t="shared" si="253"/>
        <v>治疗费</v>
      </c>
    </row>
    <row r="718" spans="1:16">
      <c r="A718" t="str">
        <f>"根管内充物取出术"</f>
        <v>根管内充物取出术</v>
      </c>
      <c r="B718" t="str">
        <f>"310511021-4"</f>
        <v>310511021-4</v>
      </c>
      <c r="C718" t="str">
        <f>"治疗"</f>
        <v>治疗</v>
      </c>
      <c r="G718">
        <v>40</v>
      </c>
      <c r="I718" t="str">
        <f t="shared" si="255"/>
        <v>项</v>
      </c>
      <c r="K718" t="str">
        <f>"GGNCWQCS"</f>
        <v>GGNCWQCS</v>
      </c>
      <c r="L718" t="str">
        <f>"STMYTBBS"</f>
        <v>STMYTBBS</v>
      </c>
      <c r="M718">
        <v>40</v>
      </c>
      <c r="N718">
        <v>310511021</v>
      </c>
      <c r="O718" t="str">
        <f>"项"</f>
        <v>项</v>
      </c>
      <c r="P718" t="str">
        <f t="shared" si="253"/>
        <v>治疗费</v>
      </c>
    </row>
    <row r="719" spans="1:16">
      <c r="A719" t="str">
        <f>"髓腔穿孔修补术"</f>
        <v>髓腔穿孔修补术</v>
      </c>
      <c r="B719">
        <v>310511022</v>
      </c>
      <c r="C719" t="str">
        <f t="shared" ref="C719:C737" si="256">"其他"</f>
        <v>其他</v>
      </c>
      <c r="D719" t="str">
        <f>"003105110220000"</f>
        <v>003105110220000</v>
      </c>
      <c r="G719">
        <v>24</v>
      </c>
      <c r="I719" t="str">
        <f t="shared" si="254"/>
        <v>-</v>
      </c>
      <c r="K719" t="str">
        <f>"SQCKXBS"</f>
        <v>SQCKXBS</v>
      </c>
      <c r="L719" t="str">
        <f>"MEPBWPS"</f>
        <v>MEPBWPS</v>
      </c>
      <c r="M719">
        <v>24</v>
      </c>
      <c r="N719">
        <v>310511022</v>
      </c>
      <c r="O719" t="str">
        <f>"每根管"</f>
        <v>每根管</v>
      </c>
      <c r="P719" t="str">
        <f t="shared" si="253"/>
        <v>治疗费</v>
      </c>
    </row>
    <row r="720" spans="1:16">
      <c r="A720" t="str">
        <f>"牙槽骨烧伤清创术"</f>
        <v>牙槽骨烧伤清创术</v>
      </c>
      <c r="B720">
        <v>310511024</v>
      </c>
      <c r="C720" t="str">
        <f t="shared" si="256"/>
        <v>其他</v>
      </c>
      <c r="D720" t="str">
        <f>"003105110240000"</f>
        <v>003105110240000</v>
      </c>
      <c r="G720">
        <v>24</v>
      </c>
      <c r="I720" t="str">
        <f t="shared" si="254"/>
        <v>-</v>
      </c>
      <c r="K720" t="str">
        <f>"YCGSSQCS"</f>
        <v>YCGSSQCS</v>
      </c>
      <c r="L720" t="str">
        <f>"ASMOWIWS"</f>
        <v>ASMOWIWS</v>
      </c>
      <c r="M720">
        <v>24</v>
      </c>
      <c r="N720">
        <v>310511024</v>
      </c>
      <c r="O720" t="str">
        <f t="shared" ref="O720:O724" si="257">"次"</f>
        <v>次</v>
      </c>
      <c r="P720" t="str">
        <f>"手术费"</f>
        <v>手术费</v>
      </c>
    </row>
    <row r="721" spans="1:16">
      <c r="A721" t="str">
        <f>"制戴固定式缺隙保持器"</f>
        <v>制戴固定式缺隙保持器</v>
      </c>
      <c r="B721">
        <v>310512005</v>
      </c>
      <c r="C721" t="str">
        <f t="shared" si="256"/>
        <v>其他</v>
      </c>
      <c r="D721" t="str">
        <f>"003105120050000"</f>
        <v>003105120050000</v>
      </c>
      <c r="G721">
        <v>26</v>
      </c>
      <c r="I721" t="str">
        <f t="shared" si="255"/>
        <v>项</v>
      </c>
      <c r="K721" t="str">
        <f>"ZDGDSQXBCQ"</f>
        <v>ZDGDSQXBCQ</v>
      </c>
      <c r="L721" t="str">
        <f>"RFLPARBWRK"</f>
        <v>RFLPARBWRK</v>
      </c>
      <c r="M721">
        <v>26</v>
      </c>
      <c r="N721">
        <v>310512005</v>
      </c>
      <c r="O721" t="str">
        <f t="shared" si="257"/>
        <v>次</v>
      </c>
      <c r="P721" t="str">
        <f t="shared" ref="P721:P737" si="258">"治疗费"</f>
        <v>治疗费</v>
      </c>
    </row>
    <row r="722" spans="1:16">
      <c r="A722" t="str">
        <f>"口腔粘膜病系统治疗设计"</f>
        <v>口腔粘膜病系统治疗设计</v>
      </c>
      <c r="B722">
        <v>310514001</v>
      </c>
      <c r="C722" t="str">
        <f t="shared" si="256"/>
        <v>其他</v>
      </c>
      <c r="D722" t="str">
        <f>"003105140010000"</f>
        <v>003105140010000</v>
      </c>
      <c r="G722">
        <v>6</v>
      </c>
      <c r="I722" t="str">
        <f>"-"</f>
        <v>-</v>
      </c>
      <c r="K722" t="str">
        <f>"KQZMBXTZLS"</f>
        <v>KQZMBXTZLS</v>
      </c>
      <c r="L722" t="str">
        <f>"KEOEUTXIUY"</f>
        <v>KEOEUTXIUY</v>
      </c>
      <c r="M722">
        <v>7</v>
      </c>
      <c r="N722">
        <v>310514001</v>
      </c>
      <c r="O722" t="str">
        <f t="shared" si="257"/>
        <v>次</v>
      </c>
      <c r="P722" t="str">
        <f t="shared" si="258"/>
        <v>治疗费</v>
      </c>
    </row>
    <row r="723" spans="1:16">
      <c r="A723" t="str">
        <f>"口腔粘膜雾化治疗"</f>
        <v>口腔粘膜雾化治疗</v>
      </c>
      <c r="B723">
        <v>310514002</v>
      </c>
      <c r="C723" t="str">
        <f t="shared" si="256"/>
        <v>其他</v>
      </c>
      <c r="D723" t="str">
        <f>"003105140020000"</f>
        <v>003105140020000</v>
      </c>
      <c r="G723">
        <v>6</v>
      </c>
      <c r="I723" t="str">
        <f t="shared" ref="I723:I730" si="259">"次"</f>
        <v>次</v>
      </c>
      <c r="K723" t="str">
        <f>"KQZMWHZL"</f>
        <v>KQZMWHZL</v>
      </c>
      <c r="L723" t="str">
        <f>"KEOEFWIU"</f>
        <v>KEOEFWIU</v>
      </c>
      <c r="M723">
        <v>6</v>
      </c>
      <c r="N723">
        <v>310514002</v>
      </c>
      <c r="O723" t="str">
        <f t="shared" si="257"/>
        <v>次</v>
      </c>
      <c r="P723" t="str">
        <f t="shared" si="258"/>
        <v>治疗费</v>
      </c>
    </row>
    <row r="724" spans="1:16">
      <c r="A724" t="str">
        <f>"口腔粘膜病特殊治疗（等离子治疗）"</f>
        <v>口腔粘膜病特殊治疗（等离子治疗）</v>
      </c>
      <c r="B724" t="str">
        <f>"310514003-a"</f>
        <v>310514003-a</v>
      </c>
      <c r="C724" t="str">
        <f t="shared" si="256"/>
        <v>其他</v>
      </c>
      <c r="D724" t="str">
        <f>"003105140030000"</f>
        <v>003105140030000</v>
      </c>
      <c r="G724">
        <v>12</v>
      </c>
      <c r="I724" t="str">
        <f t="shared" si="259"/>
        <v>次</v>
      </c>
      <c r="K724" t="str">
        <f>"KQZMBTSZLDLZZL"</f>
        <v>KQZMBTSZLDLZZL</v>
      </c>
      <c r="L724" t="str">
        <f>"KEOEUTGIUTYBIU"</f>
        <v>KEOEUTGIUTYBIU</v>
      </c>
      <c r="M724">
        <v>12</v>
      </c>
      <c r="N724" t="str">
        <f>"310514003-a"</f>
        <v>310514003-a</v>
      </c>
      <c r="O724" t="str">
        <f t="shared" si="257"/>
        <v>次</v>
      </c>
      <c r="P724" t="str">
        <f t="shared" si="258"/>
        <v>治疗费</v>
      </c>
    </row>
    <row r="725" spans="1:16">
      <c r="A725" t="str">
        <f>"颞下颌关节复位术"</f>
        <v>颞下颌关节复位术</v>
      </c>
      <c r="B725">
        <v>310515001</v>
      </c>
      <c r="C725" t="str">
        <f t="shared" si="256"/>
        <v>其他</v>
      </c>
      <c r="D725" t="str">
        <f>"003105150010000"</f>
        <v>003105150010000</v>
      </c>
      <c r="G725">
        <v>42</v>
      </c>
      <c r="I725">
        <v>1</v>
      </c>
      <c r="K725" t="str">
        <f>"NXHGJFWS"</f>
        <v>NXHGJFWS</v>
      </c>
      <c r="L725" t="str">
        <f>"BGWUATWS"</f>
        <v>BGWUATWS</v>
      </c>
      <c r="M725">
        <v>42</v>
      </c>
      <c r="N725">
        <v>310515001</v>
      </c>
      <c r="O725" t="str">
        <f>"每次"</f>
        <v>每次</v>
      </c>
      <c r="P725" t="str">
        <f t="shared" si="258"/>
        <v>治疗费</v>
      </c>
    </row>
    <row r="726" spans="1:16">
      <c r="A726" t="str">
        <f>"冠周炎局部治疗"</f>
        <v>冠周炎局部治疗</v>
      </c>
      <c r="B726">
        <v>310515002</v>
      </c>
      <c r="C726" t="str">
        <f t="shared" si="256"/>
        <v>其他</v>
      </c>
      <c r="D726" t="str">
        <f>"003105150020000"</f>
        <v>003105150020000</v>
      </c>
      <c r="G726">
        <v>10</v>
      </c>
      <c r="I726" t="str">
        <f t="shared" si="259"/>
        <v>次</v>
      </c>
      <c r="K726" t="str">
        <f>"GZYJBZL"</f>
        <v>GZYJBZL</v>
      </c>
      <c r="L726" t="str">
        <f>"PMONUIU"</f>
        <v>PMONUIU</v>
      </c>
      <c r="M726">
        <v>10</v>
      </c>
      <c r="N726">
        <v>310515002</v>
      </c>
      <c r="O726" t="str">
        <f t="shared" ref="O726:O730" si="260">"次"</f>
        <v>次</v>
      </c>
      <c r="P726" t="str">
        <f t="shared" si="258"/>
        <v>治疗费</v>
      </c>
    </row>
    <row r="727" spans="1:16">
      <c r="A727" t="str">
        <f>"涎腺导管扩大术"</f>
        <v>涎腺导管扩大术</v>
      </c>
      <c r="B727">
        <v>310515004</v>
      </c>
      <c r="C727" t="str">
        <f t="shared" si="256"/>
        <v>其他</v>
      </c>
      <c r="D727" t="str">
        <f>"003105150040000"</f>
        <v>003105150040000</v>
      </c>
      <c r="G727">
        <v>36</v>
      </c>
      <c r="I727" t="str">
        <f t="shared" si="259"/>
        <v>次</v>
      </c>
      <c r="K727" t="str">
        <f>"XXDGKDS"</f>
        <v>XXDGKDS</v>
      </c>
      <c r="L727" t="str">
        <f>"IENTRDS"</f>
        <v>IENTRDS</v>
      </c>
      <c r="M727">
        <v>36</v>
      </c>
      <c r="N727">
        <v>310515004</v>
      </c>
      <c r="O727" t="str">
        <f t="shared" si="260"/>
        <v>次</v>
      </c>
      <c r="P727" t="str">
        <f t="shared" si="258"/>
        <v>治疗费</v>
      </c>
    </row>
    <row r="728" spans="1:16">
      <c r="A728" t="str">
        <f>"腮腺导管内药物灌注治疗"</f>
        <v>腮腺导管内药物灌注治疗</v>
      </c>
      <c r="B728">
        <v>310515005</v>
      </c>
      <c r="C728" t="str">
        <f t="shared" si="256"/>
        <v>其他</v>
      </c>
      <c r="D728" t="str">
        <f>"003105150050000"</f>
        <v>003105150050000</v>
      </c>
      <c r="G728">
        <v>36</v>
      </c>
      <c r="I728" t="str">
        <f t="shared" si="259"/>
        <v>次</v>
      </c>
      <c r="K728" t="str">
        <f>"SXDGNYWGZZL"</f>
        <v>SXDGNYWGZZL</v>
      </c>
      <c r="L728" t="str">
        <f>"EENTMATIIIU"</f>
        <v>EENTMATIIIU</v>
      </c>
      <c r="M728">
        <v>36</v>
      </c>
      <c r="N728">
        <v>310515005</v>
      </c>
      <c r="O728" t="str">
        <f t="shared" si="260"/>
        <v>次</v>
      </c>
      <c r="P728" t="str">
        <f t="shared" si="258"/>
        <v>治疗费</v>
      </c>
    </row>
    <row r="729" spans="1:16">
      <c r="A729" t="str">
        <f>"面神经功能训练"</f>
        <v>面神经功能训练</v>
      </c>
      <c r="B729">
        <v>310515006</v>
      </c>
      <c r="C729" t="str">
        <f t="shared" si="256"/>
        <v>其他</v>
      </c>
      <c r="D729" t="str">
        <f>"003105150060000"</f>
        <v>003105150060000</v>
      </c>
      <c r="G729">
        <v>4.8</v>
      </c>
      <c r="I729" t="str">
        <f t="shared" si="259"/>
        <v>次</v>
      </c>
      <c r="K729" t="str">
        <f>"MSJGNXL"</f>
        <v>MSJGNXL</v>
      </c>
      <c r="L729" t="str">
        <f>"DPXACYX"</f>
        <v>DPXACYX</v>
      </c>
      <c r="M729">
        <v>4.8</v>
      </c>
      <c r="N729">
        <v>310515006</v>
      </c>
      <c r="O729" t="str">
        <f t="shared" si="260"/>
        <v>次</v>
      </c>
      <c r="P729" t="str">
        <f t="shared" si="258"/>
        <v>治疗费</v>
      </c>
    </row>
    <row r="730" spans="1:16">
      <c r="A730" t="str">
        <f>"腭裂术后语音训练治疗"</f>
        <v>腭裂术后语音训练治疗</v>
      </c>
      <c r="B730">
        <v>310515007</v>
      </c>
      <c r="C730" t="str">
        <f t="shared" si="256"/>
        <v>其他</v>
      </c>
      <c r="D730" t="str">
        <f>"003105150070000"</f>
        <v>003105150070000</v>
      </c>
      <c r="G730">
        <v>36</v>
      </c>
      <c r="I730" t="str">
        <f t="shared" si="259"/>
        <v>次</v>
      </c>
      <c r="K730" t="str">
        <f>"ELSHYYXLZL"</f>
        <v>ELSHYYXLZL</v>
      </c>
      <c r="L730" t="str">
        <f>"EGSRYUYXIU"</f>
        <v>EGSRYUYXIU</v>
      </c>
      <c r="M730">
        <v>36</v>
      </c>
      <c r="N730">
        <v>310515007</v>
      </c>
      <c r="O730" t="str">
        <f t="shared" si="260"/>
        <v>次</v>
      </c>
      <c r="P730" t="str">
        <f t="shared" si="258"/>
        <v>治疗费</v>
      </c>
    </row>
    <row r="731" spans="1:16">
      <c r="A731" t="str">
        <f>"口腔颌面部各类冷冻治疗"</f>
        <v>口腔颌面部各类冷冻治疗</v>
      </c>
      <c r="B731">
        <v>310515008</v>
      </c>
      <c r="C731" t="str">
        <f t="shared" si="256"/>
        <v>其他</v>
      </c>
      <c r="D731" t="str">
        <f>"003105150080000"</f>
        <v>003105150080000</v>
      </c>
      <c r="G731">
        <v>30</v>
      </c>
      <c r="I731" t="str">
        <f>"每部位"</f>
        <v>每部位</v>
      </c>
      <c r="K731" t="str">
        <f>"KQHMBGLLDZL"</f>
        <v>KQHMBGLLDZL</v>
      </c>
      <c r="L731" t="str">
        <f>"KEWDUTOUUIU"</f>
        <v>KEWDUTOUUIU</v>
      </c>
      <c r="M731">
        <v>30</v>
      </c>
      <c r="N731">
        <v>310515008</v>
      </c>
      <c r="O731" t="str">
        <f>"每部位"</f>
        <v>每部位</v>
      </c>
      <c r="P731" t="str">
        <f t="shared" si="258"/>
        <v>治疗费</v>
      </c>
    </row>
    <row r="732" spans="1:16">
      <c r="A732" t="str">
        <f>"颞颌关节腔内封闭治疗"</f>
        <v>颞颌关节腔内封闭治疗</v>
      </c>
      <c r="B732">
        <v>310516001</v>
      </c>
      <c r="C732" t="str">
        <f t="shared" si="256"/>
        <v>其他</v>
      </c>
      <c r="D732" t="str">
        <f>"003105160010000"</f>
        <v>003105160010000</v>
      </c>
      <c r="G732">
        <v>17</v>
      </c>
      <c r="I732" t="str">
        <f t="shared" ref="I732:I736" si="261">"单侧"</f>
        <v>单侧</v>
      </c>
      <c r="K732" t="str">
        <f>"NHGJQNFBZL"</f>
        <v>NHGJQNFBZL</v>
      </c>
      <c r="L732" t="str">
        <f>"BWUAEMFUIU"</f>
        <v>BWUAEMFUIU</v>
      </c>
      <c r="M732">
        <v>17</v>
      </c>
      <c r="N732">
        <v>310516001</v>
      </c>
      <c r="O732" t="str">
        <f t="shared" ref="O732:O736" si="262">"单侧"</f>
        <v>单侧</v>
      </c>
      <c r="P732" t="str">
        <f t="shared" si="258"/>
        <v>治疗费</v>
      </c>
    </row>
    <row r="733" spans="1:16">
      <c r="A733" t="str">
        <f>"关节腔灌洗治疗"</f>
        <v>关节腔灌洗治疗</v>
      </c>
      <c r="B733">
        <v>310516002</v>
      </c>
      <c r="C733" t="str">
        <f t="shared" si="256"/>
        <v>其他</v>
      </c>
      <c r="D733" t="str">
        <f>"003105160020000"</f>
        <v>003105160020000</v>
      </c>
      <c r="G733">
        <v>24</v>
      </c>
      <c r="I733" t="str">
        <f t="shared" si="261"/>
        <v>单侧</v>
      </c>
      <c r="K733" t="str">
        <f>"GJQGXZL"</f>
        <v>GJQGXZL</v>
      </c>
      <c r="L733" t="str">
        <f>"UAEIIIU"</f>
        <v>UAEIIIU</v>
      </c>
      <c r="M733">
        <v>24</v>
      </c>
      <c r="N733">
        <v>310516002</v>
      </c>
      <c r="O733" t="str">
        <f t="shared" si="262"/>
        <v>单侧</v>
      </c>
      <c r="P733" t="str">
        <f t="shared" si="258"/>
        <v>治疗费</v>
      </c>
    </row>
    <row r="734" spans="1:16">
      <c r="A734" t="str">
        <f>"调磨合(代)垫"</f>
        <v>调磨合(代)垫</v>
      </c>
      <c r="B734">
        <v>310516003</v>
      </c>
      <c r="C734" t="str">
        <f t="shared" si="256"/>
        <v>其他</v>
      </c>
      <c r="D734" t="str">
        <f>"003105160030000"</f>
        <v>003105160030000</v>
      </c>
      <c r="G734">
        <v>6</v>
      </c>
      <c r="I734">
        <v>1</v>
      </c>
      <c r="K734" t="str">
        <f>"TMH(D)D"</f>
        <v>TMH(D)D</v>
      </c>
      <c r="L734" t="str">
        <f>"YYWWR"</f>
        <v>YYWWR</v>
      </c>
      <c r="M734">
        <v>6</v>
      </c>
      <c r="N734">
        <v>310516003</v>
      </c>
      <c r="O734" t="str">
        <f>"每次"</f>
        <v>每次</v>
      </c>
      <c r="P734" t="str">
        <f t="shared" si="258"/>
        <v>治疗费</v>
      </c>
    </row>
    <row r="735" spans="1:16">
      <c r="A735" t="str">
        <f>"关节镜手术治疗"</f>
        <v>关节镜手术治疗</v>
      </c>
      <c r="B735">
        <v>310516004</v>
      </c>
      <c r="C735" t="str">
        <f t="shared" si="256"/>
        <v>其他</v>
      </c>
      <c r="D735" t="str">
        <f>"003105160040000"</f>
        <v>003105160040000</v>
      </c>
      <c r="G735">
        <v>720</v>
      </c>
      <c r="I735" t="str">
        <f t="shared" si="261"/>
        <v>单侧</v>
      </c>
      <c r="K735" t="str">
        <f>"GJJSSZL"</f>
        <v>GJJSSZL</v>
      </c>
      <c r="L735" t="str">
        <f>"UAQRSIU"</f>
        <v>UAQRSIU</v>
      </c>
      <c r="M735">
        <v>720</v>
      </c>
      <c r="N735">
        <v>310516004</v>
      </c>
      <c r="O735" t="str">
        <f t="shared" si="262"/>
        <v>单侧</v>
      </c>
      <c r="P735" t="str">
        <f t="shared" si="258"/>
        <v>治疗费</v>
      </c>
    </row>
    <row r="736" spans="1:16">
      <c r="A736" t="str">
        <f>"关节镜手术治疗"</f>
        <v>关节镜手术治疗</v>
      </c>
      <c r="B736" t="str">
        <f>"310516004-a"</f>
        <v>310516004-a</v>
      </c>
      <c r="C736" t="str">
        <f t="shared" si="256"/>
        <v>其他</v>
      </c>
      <c r="D736" t="str">
        <f>"003105160040000"</f>
        <v>003105160040000</v>
      </c>
      <c r="G736">
        <v>792</v>
      </c>
      <c r="I736" t="str">
        <f t="shared" si="261"/>
        <v>单侧</v>
      </c>
      <c r="K736" t="str">
        <f>"GJJSSZL"</f>
        <v>GJJSSZL</v>
      </c>
      <c r="L736" t="str">
        <f>"UAQRSIU"</f>
        <v>UAQRSIU</v>
      </c>
      <c r="M736">
        <v>792</v>
      </c>
      <c r="N736" t="str">
        <f>"310516004-a"</f>
        <v>310516004-a</v>
      </c>
      <c r="O736" t="str">
        <f t="shared" si="262"/>
        <v>单侧</v>
      </c>
      <c r="P736" t="str">
        <f t="shared" si="258"/>
        <v>治疗费</v>
      </c>
    </row>
    <row r="737" spans="1:16">
      <c r="A737" t="str">
        <f>"咬合重建"</f>
        <v>咬合重建</v>
      </c>
      <c r="B737">
        <v>310517008</v>
      </c>
      <c r="C737" t="str">
        <f t="shared" si="256"/>
        <v>其他</v>
      </c>
      <c r="D737" t="str">
        <f>"003105170080000"</f>
        <v>003105170080000</v>
      </c>
      <c r="G737">
        <v>96</v>
      </c>
      <c r="I737" t="str">
        <f>"次"</f>
        <v>次</v>
      </c>
      <c r="K737" t="str">
        <f>"YHCJ"</f>
        <v>YHCJ</v>
      </c>
      <c r="L737" t="str">
        <f>"KWTV"</f>
        <v>KWTV</v>
      </c>
      <c r="M737">
        <v>96</v>
      </c>
      <c r="N737">
        <v>310517008</v>
      </c>
      <c r="O737" t="str">
        <f>"次"</f>
        <v>次</v>
      </c>
      <c r="P737" t="str">
        <f t="shared" si="258"/>
        <v>治疗费</v>
      </c>
    </row>
    <row r="738" spans="1:16">
      <c r="A738" t="str">
        <f>"四层色美容修复义齿"</f>
        <v>四层色美容修复义齿</v>
      </c>
      <c r="B738" t="str">
        <f>"310518004-60"</f>
        <v>310518004-60</v>
      </c>
      <c r="C738" t="str">
        <f t="shared" ref="C738:C740" si="263">"治疗"</f>
        <v>治疗</v>
      </c>
      <c r="G738">
        <v>100</v>
      </c>
      <c r="I738" t="str">
        <f t="shared" ref="I738:I740" si="264">"每牙"</f>
        <v>每牙</v>
      </c>
      <c r="K738" t="str">
        <f>"SCSMRXFYC"</f>
        <v>SCSMRXFYC</v>
      </c>
      <c r="L738" t="str">
        <f>"LNQUPWTYH"</f>
        <v>LNQUPWTYH</v>
      </c>
      <c r="M738">
        <v>100</v>
      </c>
      <c r="N738">
        <v>310518004</v>
      </c>
      <c r="O738" t="str">
        <f t="shared" ref="O738:O740" si="265">"每牙"</f>
        <v>每牙</v>
      </c>
      <c r="P738" t="str">
        <f t="shared" ref="P738:P740" si="266">"治疗费(含材料费)"</f>
        <v>治疗费(含材料费)</v>
      </c>
    </row>
    <row r="739" spans="1:16">
      <c r="A739" t="str">
        <f>"三层色美容修复义齿"</f>
        <v>三层色美容修复义齿</v>
      </c>
      <c r="B739" t="str">
        <f>"310518004-63"</f>
        <v>310518004-63</v>
      </c>
      <c r="C739" t="str">
        <f t="shared" si="263"/>
        <v>治疗</v>
      </c>
      <c r="G739">
        <v>50</v>
      </c>
      <c r="I739" t="str">
        <f t="shared" si="264"/>
        <v>每牙</v>
      </c>
      <c r="K739" t="str">
        <f>"SCSMRXFYC"</f>
        <v>SCSMRXFYC</v>
      </c>
      <c r="L739" t="str">
        <f>"DNQUPWTYH"</f>
        <v>DNQUPWTYH</v>
      </c>
      <c r="M739">
        <v>50</v>
      </c>
      <c r="N739">
        <v>310518004</v>
      </c>
      <c r="O739" t="str">
        <f t="shared" si="265"/>
        <v>每牙</v>
      </c>
      <c r="P739" t="str">
        <f t="shared" si="266"/>
        <v>治疗费(含材料费)</v>
      </c>
    </row>
    <row r="740" spans="1:16">
      <c r="A740" t="str">
        <f>"三层色美容修复义齿（单颌）"</f>
        <v>三层色美容修复义齿（单颌）</v>
      </c>
      <c r="B740" t="str">
        <f>"310518004-64"</f>
        <v>310518004-64</v>
      </c>
      <c r="C740" t="str">
        <f t="shared" si="263"/>
        <v>治疗</v>
      </c>
      <c r="G740">
        <v>600</v>
      </c>
      <c r="I740" t="str">
        <f t="shared" si="264"/>
        <v>每牙</v>
      </c>
      <c r="K740" t="str">
        <f>"SCSMRXFYCD"</f>
        <v>SCSMRXFYCD</v>
      </c>
      <c r="L740" t="str">
        <f>"DNQUPWTYHUW"</f>
        <v>DNQUPWTYHUW</v>
      </c>
      <c r="M740">
        <v>600</v>
      </c>
      <c r="N740">
        <v>310518004</v>
      </c>
      <c r="O740" t="str">
        <f t="shared" si="265"/>
        <v>每牙</v>
      </c>
      <c r="P740" t="str">
        <f t="shared" si="266"/>
        <v>治疗费(含材料费)</v>
      </c>
    </row>
    <row r="741" spans="1:16">
      <c r="A741" t="str">
        <f>"义齿组织面重衬"</f>
        <v>义齿组织面重衬</v>
      </c>
      <c r="B741">
        <v>310519012</v>
      </c>
      <c r="C741" t="str">
        <f t="shared" ref="C741:C750" si="267">"其他"</f>
        <v>其他</v>
      </c>
      <c r="D741" t="str">
        <f>"003105190120000"</f>
        <v>003105190120000</v>
      </c>
      <c r="G741">
        <v>6</v>
      </c>
      <c r="I741" t="str">
        <f>"厘米"</f>
        <v>厘米</v>
      </c>
      <c r="K741" t="str">
        <f>"YCZZMCC"</f>
        <v>YCZZMCC</v>
      </c>
      <c r="L741" t="str">
        <f>"YHXXDTP"</f>
        <v>YHXXDTP</v>
      </c>
      <c r="M741">
        <v>6</v>
      </c>
      <c r="N741">
        <v>310519012</v>
      </c>
      <c r="O741" t="str">
        <f>"每厘米"</f>
        <v>每厘米</v>
      </c>
      <c r="P741" t="str">
        <f t="shared" ref="P741:P750" si="268">"治疗费"</f>
        <v>治疗费</v>
      </c>
    </row>
    <row r="742" spans="1:16">
      <c r="A742" t="str">
        <f>"弹性假牙龈"</f>
        <v>弹性假牙龈</v>
      </c>
      <c r="B742">
        <v>310519020</v>
      </c>
      <c r="C742" t="str">
        <f t="shared" si="267"/>
        <v>其他</v>
      </c>
      <c r="D742" t="str">
        <f>"003105190200000"</f>
        <v>003105190200000</v>
      </c>
      <c r="G742">
        <v>18</v>
      </c>
      <c r="I742" t="str">
        <f>"-"</f>
        <v>-</v>
      </c>
      <c r="K742" t="str">
        <f>"DXJYY"</f>
        <v>DXJYY</v>
      </c>
      <c r="L742" t="str">
        <f>"XNWAH"</f>
        <v>XNWAH</v>
      </c>
      <c r="M742">
        <v>18</v>
      </c>
      <c r="N742">
        <v>310519020</v>
      </c>
      <c r="O742" t="str">
        <f t="shared" ref="O742:O747" si="269">"每牙"</f>
        <v>每牙</v>
      </c>
      <c r="P742" t="str">
        <f t="shared" si="268"/>
        <v>治疗费</v>
      </c>
    </row>
    <row r="743" spans="1:16">
      <c r="A743" t="str">
        <f>"恒牙早期安氏II类错功能矫治器治疗"</f>
        <v>恒牙早期安氏II类错功能矫治器治疗</v>
      </c>
      <c r="B743">
        <v>310522010</v>
      </c>
      <c r="C743" t="str">
        <f>"治疗"</f>
        <v>治疗</v>
      </c>
      <c r="D743" t="str">
        <f>"003105220100000"</f>
        <v>003105220100000</v>
      </c>
      <c r="G743">
        <v>12000</v>
      </c>
      <c r="I743" t="str">
        <f>"项"</f>
        <v>项</v>
      </c>
      <c r="K743" t="str">
        <f>"HYZQASIILCGNJZQZ"</f>
        <v>HYZQASIILCGNJZQZ</v>
      </c>
      <c r="L743" t="str">
        <f>"NAJAPQIIOQACTIKI"</f>
        <v>NAJAPQIIOQACTIKI</v>
      </c>
      <c r="M743">
        <v>12000</v>
      </c>
      <c r="N743">
        <v>310522010</v>
      </c>
      <c r="O743" t="str">
        <f>"项"</f>
        <v>项</v>
      </c>
      <c r="P743" t="str">
        <f>"治疗费(含材料费)"</f>
        <v>治疗费(含材料费)</v>
      </c>
    </row>
    <row r="744" spans="1:16">
      <c r="A744" t="str">
        <f>"种植体模型制备"</f>
        <v>种植体模型制备</v>
      </c>
      <c r="B744">
        <v>310523001</v>
      </c>
      <c r="C744" t="str">
        <f t="shared" si="267"/>
        <v>其他</v>
      </c>
      <c r="D744" t="str">
        <f>"003105230010000"</f>
        <v>003105230010000</v>
      </c>
      <c r="G744">
        <v>144</v>
      </c>
      <c r="I744">
        <v>1</v>
      </c>
      <c r="K744" t="str">
        <f>"ZZTMXZB"</f>
        <v>ZZTMXZB</v>
      </c>
      <c r="L744" t="str">
        <f>"TSWSGRT"</f>
        <v>TSWSGRT</v>
      </c>
      <c r="M744">
        <v>144</v>
      </c>
      <c r="N744">
        <v>310523001</v>
      </c>
      <c r="O744" t="str">
        <f t="shared" ref="O744:O749" si="270">"单颌"</f>
        <v>单颌</v>
      </c>
      <c r="P744" t="str">
        <f t="shared" si="268"/>
        <v>治疗费</v>
      </c>
    </row>
    <row r="745" spans="1:16">
      <c r="A745" t="str">
        <f>"外科引导板"</f>
        <v>外科引导板</v>
      </c>
      <c r="B745">
        <v>310523002</v>
      </c>
      <c r="C745" t="str">
        <f t="shared" si="267"/>
        <v>其他</v>
      </c>
      <c r="D745" t="str">
        <f>"003105230020000"</f>
        <v>003105230020000</v>
      </c>
      <c r="G745">
        <v>72</v>
      </c>
      <c r="I745" t="str">
        <f t="shared" ref="I745:I749" si="271">"单颌"</f>
        <v>单颌</v>
      </c>
      <c r="K745" t="str">
        <f>"WKYDZB"</f>
        <v>WKYDZB</v>
      </c>
      <c r="L745" t="str">
        <f>"QTXNS"</f>
        <v>QTXNS</v>
      </c>
      <c r="M745">
        <v>72</v>
      </c>
      <c r="N745">
        <v>310523002</v>
      </c>
      <c r="O745" t="str">
        <f t="shared" si="270"/>
        <v>单颌</v>
      </c>
      <c r="P745" t="str">
        <f t="shared" si="268"/>
        <v>治疗费</v>
      </c>
    </row>
    <row r="746" spans="1:16">
      <c r="A746" t="str">
        <f>"种植过渡义齿"</f>
        <v>种植过渡义齿</v>
      </c>
      <c r="B746">
        <v>310523003</v>
      </c>
      <c r="C746" t="str">
        <f t="shared" si="267"/>
        <v>其他</v>
      </c>
      <c r="D746" t="str">
        <f>"003105230030000"</f>
        <v>003105230030000</v>
      </c>
      <c r="G746">
        <v>72</v>
      </c>
      <c r="I746" t="str">
        <f>"每牙"</f>
        <v>每牙</v>
      </c>
      <c r="K746" t="str">
        <f>"ZZGDYC"</f>
        <v>ZZGDYC</v>
      </c>
      <c r="L746" t="str">
        <f>"TSFIYH"</f>
        <v>TSFIYH</v>
      </c>
      <c r="M746">
        <v>72</v>
      </c>
      <c r="N746">
        <v>310523003</v>
      </c>
      <c r="O746" t="str">
        <f t="shared" si="269"/>
        <v>每牙</v>
      </c>
      <c r="P746" t="str">
        <f t="shared" si="268"/>
        <v>治疗费</v>
      </c>
    </row>
    <row r="747" spans="1:16">
      <c r="A747" t="str">
        <f>"种植体-真牙栓道式附着体"</f>
        <v>种植体-真牙栓道式附着体</v>
      </c>
      <c r="B747">
        <v>310523004</v>
      </c>
      <c r="C747" t="str">
        <f t="shared" si="267"/>
        <v>其他</v>
      </c>
      <c r="D747" t="str">
        <f>"003105230040000"</f>
        <v>003105230040000</v>
      </c>
      <c r="G747">
        <v>360</v>
      </c>
      <c r="I747" t="str">
        <f>"每牙"</f>
        <v>每牙</v>
      </c>
      <c r="K747" t="str">
        <f>"ZZT-ZYSDSFZT"</f>
        <v>ZZT-ZYSDSFZT</v>
      </c>
      <c r="L747" t="str">
        <f>"TSW-FASUABUW"</f>
        <v>TSW-FASUABUW</v>
      </c>
      <c r="M747">
        <v>360</v>
      </c>
      <c r="N747">
        <v>310523004</v>
      </c>
      <c r="O747" t="str">
        <f t="shared" si="269"/>
        <v>每牙</v>
      </c>
      <c r="P747" t="str">
        <f t="shared" si="268"/>
        <v>治疗费</v>
      </c>
    </row>
    <row r="748" spans="1:16">
      <c r="A748" t="str">
        <f>"种植覆盖义齿"</f>
        <v>种植覆盖义齿</v>
      </c>
      <c r="B748">
        <v>310523005</v>
      </c>
      <c r="C748" t="str">
        <f t="shared" si="267"/>
        <v>其他</v>
      </c>
      <c r="D748" t="str">
        <f>"003105230050000"</f>
        <v>003105230050000</v>
      </c>
      <c r="G748">
        <v>600</v>
      </c>
      <c r="I748" t="str">
        <f t="shared" si="271"/>
        <v>单颌</v>
      </c>
      <c r="K748" t="str">
        <f>"ZZFGYC"</f>
        <v>ZZFGYC</v>
      </c>
      <c r="L748" t="str">
        <f>"TSSUYH"</f>
        <v>TSSUYH</v>
      </c>
      <c r="M748">
        <v>600</v>
      </c>
      <c r="N748">
        <v>310523005</v>
      </c>
      <c r="O748" t="str">
        <f t="shared" si="270"/>
        <v>单颌</v>
      </c>
      <c r="P748" t="str">
        <f t="shared" si="268"/>
        <v>治疗费</v>
      </c>
    </row>
    <row r="749" spans="1:16">
      <c r="A749" t="str">
        <f>"全口固定种植义齿"</f>
        <v>全口固定种植义齿</v>
      </c>
      <c r="B749">
        <v>310523006</v>
      </c>
      <c r="C749" t="str">
        <f t="shared" si="267"/>
        <v>其他</v>
      </c>
      <c r="D749" t="str">
        <f>"003105230060000"</f>
        <v>003105230060000</v>
      </c>
      <c r="G749">
        <v>600</v>
      </c>
      <c r="I749" t="str">
        <f t="shared" si="271"/>
        <v>单颌</v>
      </c>
      <c r="K749" t="str">
        <f>"QKGDZZYC"</f>
        <v>QKGDZZYC</v>
      </c>
      <c r="L749" t="str">
        <f>"WKLPTSYH"</f>
        <v>WKLPTSYH</v>
      </c>
      <c r="M749">
        <v>600</v>
      </c>
      <c r="N749">
        <v>310523006</v>
      </c>
      <c r="O749" t="str">
        <f t="shared" si="270"/>
        <v>单颌</v>
      </c>
      <c r="P749" t="str">
        <f t="shared" si="268"/>
        <v>治疗费</v>
      </c>
    </row>
    <row r="750" spans="1:16">
      <c r="A750" t="str">
        <f>"颜面赝复体种植修复"</f>
        <v>颜面赝复体种植修复</v>
      </c>
      <c r="B750">
        <v>310523007</v>
      </c>
      <c r="C750" t="str">
        <f t="shared" si="267"/>
        <v>其他</v>
      </c>
      <c r="D750" t="str">
        <f>"003105230070000"</f>
        <v>003105230070000</v>
      </c>
      <c r="G750">
        <v>360</v>
      </c>
      <c r="I750" t="str">
        <f>"次"</f>
        <v>次</v>
      </c>
      <c r="K750" t="str">
        <f>"YMYFTZZXF"</f>
        <v>YMYFTZZXF</v>
      </c>
      <c r="L750" t="str">
        <f>"UDDTWTSWT"</f>
        <v>UDDTWTSWT</v>
      </c>
      <c r="M750">
        <v>360</v>
      </c>
      <c r="N750">
        <v>310523007</v>
      </c>
      <c r="O750" t="str">
        <f>"次"</f>
        <v>次</v>
      </c>
      <c r="P750" t="str">
        <f t="shared" si="268"/>
        <v>治疗费</v>
      </c>
    </row>
    <row r="751" spans="1:16">
      <c r="A751" t="str">
        <f>"一次性肺功能仪用过滤嘴"</f>
        <v>一次性肺功能仪用过滤嘴</v>
      </c>
      <c r="B751" t="str">
        <f>"310601-1"</f>
        <v>310601-1</v>
      </c>
      <c r="C751" t="str">
        <f>"材料"</f>
        <v>材料</v>
      </c>
      <c r="G751">
        <v>14</v>
      </c>
      <c r="I751">
        <v>1</v>
      </c>
      <c r="K751" t="str">
        <f>"YCXFGNYYGLZ"</f>
        <v>YCXFGNYYGLZ</v>
      </c>
      <c r="L751" t="str">
        <f>"GUNEACWEFIK"</f>
        <v>GUNEACWEFIK</v>
      </c>
      <c r="M751">
        <v>16</v>
      </c>
      <c r="O751" t="str">
        <f>"个"</f>
        <v>个</v>
      </c>
      <c r="P751" t="str">
        <f>"耗材费"</f>
        <v>耗材费</v>
      </c>
    </row>
    <row r="752" spans="1:16">
      <c r="A752" t="str">
        <f>"支气管舒张试验"</f>
        <v>支气管舒张试验</v>
      </c>
      <c r="B752">
        <v>310601012</v>
      </c>
      <c r="C752" t="str">
        <f>"检查"</f>
        <v>检查</v>
      </c>
      <c r="G752">
        <v>104</v>
      </c>
      <c r="I752" t="str">
        <f>"项"</f>
        <v>项</v>
      </c>
      <c r="K752" t="str">
        <f>"ZQGSZSY"</f>
        <v>ZQGSZSY</v>
      </c>
      <c r="L752" t="str">
        <f>"FRTWXYC"</f>
        <v>FRTWXYC</v>
      </c>
      <c r="M752">
        <v>104</v>
      </c>
      <c r="N752">
        <v>310601012</v>
      </c>
      <c r="O752" t="str">
        <f>"项"</f>
        <v>项</v>
      </c>
      <c r="P752" t="str">
        <f t="shared" ref="P752:P755" si="272">"检查费"</f>
        <v>检查费</v>
      </c>
    </row>
    <row r="753" spans="1:16">
      <c r="A753" t="str">
        <f>"心电监测"</f>
        <v>心电监测</v>
      </c>
      <c r="B753">
        <v>310701022</v>
      </c>
      <c r="C753" t="str">
        <f t="shared" ref="C753:C773" si="273">"其他"</f>
        <v>其他</v>
      </c>
      <c r="G753">
        <v>6</v>
      </c>
      <c r="I753" t="str">
        <f t="shared" ref="I753:I756" si="274">"小时"</f>
        <v>小时</v>
      </c>
      <c r="K753" t="str">
        <f>"XDJC"</f>
        <v>XDJC</v>
      </c>
      <c r="L753" t="str">
        <f>"NJJI"</f>
        <v>NJJI</v>
      </c>
      <c r="M753">
        <v>6</v>
      </c>
      <c r="N753">
        <v>310701022</v>
      </c>
      <c r="O753" t="str">
        <f t="shared" ref="O753:O756" si="275">"小时"</f>
        <v>小时</v>
      </c>
      <c r="P753" t="str">
        <f t="shared" si="272"/>
        <v>检查费</v>
      </c>
    </row>
    <row r="754" spans="1:16">
      <c r="A754" t="str">
        <f>"趾、指动脉检测"</f>
        <v>趾、指动脉检测</v>
      </c>
      <c r="B754" t="str">
        <f>"310701025-b"</f>
        <v>310701025-b</v>
      </c>
      <c r="C754" t="str">
        <f t="shared" si="273"/>
        <v>其他</v>
      </c>
      <c r="D754" t="str">
        <f>"003107020260000"</f>
        <v>003107020260000</v>
      </c>
      <c r="G754">
        <v>15</v>
      </c>
      <c r="I754" t="str">
        <f t="shared" ref="I754:I773" si="276">"次"</f>
        <v>次</v>
      </c>
      <c r="K754" t="str">
        <f>"ZZZDMJC"</f>
        <v>ZZZDMJC</v>
      </c>
      <c r="L754" t="str">
        <f>"KRFESI"</f>
        <v>KRFESI</v>
      </c>
      <c r="M754">
        <v>34</v>
      </c>
      <c r="N754" t="str">
        <f>"310701025-b"</f>
        <v>310701025-b</v>
      </c>
      <c r="O754" t="str">
        <f t="shared" ref="O754:O773" si="277">"次"</f>
        <v>次</v>
      </c>
      <c r="P754" t="str">
        <f>"超声费"</f>
        <v>超声费</v>
      </c>
    </row>
    <row r="755" spans="1:16">
      <c r="A755" t="str">
        <f>"指脉氧监测"</f>
        <v>指脉氧监测</v>
      </c>
      <c r="B755">
        <v>310701027</v>
      </c>
      <c r="C755" t="str">
        <f t="shared" si="273"/>
        <v>其他</v>
      </c>
      <c r="D755" t="str">
        <f>"003107010270000"</f>
        <v>003107010270000</v>
      </c>
      <c r="G755">
        <v>2</v>
      </c>
      <c r="I755" t="str">
        <f t="shared" si="274"/>
        <v>小时</v>
      </c>
      <c r="K755" t="str">
        <f>"ZMYJC"</f>
        <v>ZMYJC</v>
      </c>
      <c r="L755" t="str">
        <f>"RERJI"</f>
        <v>RERJI</v>
      </c>
      <c r="M755">
        <v>2.4</v>
      </c>
      <c r="N755">
        <v>310701027</v>
      </c>
      <c r="O755" t="str">
        <f t="shared" si="275"/>
        <v>小时</v>
      </c>
      <c r="P755" t="str">
        <f t="shared" si="272"/>
        <v>检查费</v>
      </c>
    </row>
    <row r="756" spans="1:16">
      <c r="A756" t="str">
        <f>"血氧饱和度监测"</f>
        <v>血氧饱和度监测</v>
      </c>
      <c r="B756">
        <v>310701028</v>
      </c>
      <c r="C756" t="str">
        <f t="shared" si="273"/>
        <v>其他</v>
      </c>
      <c r="D756" t="str">
        <f>"003107010280000"</f>
        <v>003107010280000</v>
      </c>
      <c r="G756">
        <v>2</v>
      </c>
      <c r="I756" t="str">
        <f t="shared" si="274"/>
        <v>小时</v>
      </c>
      <c r="K756" t="str">
        <f>"XYBHDJC"</f>
        <v>XYBHDJC</v>
      </c>
      <c r="L756" t="str">
        <f>"TRQTYJI"</f>
        <v>TRQTYJI</v>
      </c>
      <c r="M756">
        <v>2.4</v>
      </c>
      <c r="N756">
        <v>310701028</v>
      </c>
      <c r="O756" t="str">
        <f t="shared" si="275"/>
        <v>小时</v>
      </c>
      <c r="P756" t="str">
        <f>"治疗费"</f>
        <v>治疗费</v>
      </c>
    </row>
    <row r="757" spans="1:16">
      <c r="A757" t="str">
        <f>"纤维胃十二指肠镜检查"</f>
        <v>纤维胃十二指肠镜检查</v>
      </c>
      <c r="B757">
        <v>310902005</v>
      </c>
      <c r="C757" t="str">
        <f t="shared" si="273"/>
        <v>其他</v>
      </c>
      <c r="D757" t="str">
        <f>"003109020050000"</f>
        <v>003109020050000</v>
      </c>
      <c r="G757">
        <v>104</v>
      </c>
      <c r="I757" t="str">
        <f t="shared" si="276"/>
        <v>次</v>
      </c>
      <c r="K757" t="str">
        <f>"XWWSEZCJJC"</f>
        <v>XWWSEZCJJC</v>
      </c>
      <c r="L757" t="str">
        <f>"XXLFFREQSS"</f>
        <v>XXLFFREQSS</v>
      </c>
      <c r="M757">
        <v>145</v>
      </c>
      <c r="N757">
        <v>310902005</v>
      </c>
      <c r="O757" t="str">
        <f t="shared" si="277"/>
        <v>次</v>
      </c>
      <c r="P757" t="str">
        <f t="shared" ref="P757:P759" si="278">"胃镜费"</f>
        <v>胃镜费</v>
      </c>
    </row>
    <row r="758" spans="1:16">
      <c r="A758" t="str">
        <f>"经胃镜特殊治疗（电凝电切法）"</f>
        <v>经胃镜特殊治疗（电凝电切法）</v>
      </c>
      <c r="B758">
        <v>310902006</v>
      </c>
      <c r="C758" t="str">
        <f t="shared" si="273"/>
        <v>其他</v>
      </c>
      <c r="D758" t="str">
        <f>"003109020060000"</f>
        <v>003109020060000</v>
      </c>
      <c r="G758">
        <v>130</v>
      </c>
      <c r="I758" t="str">
        <f t="shared" si="276"/>
        <v>次</v>
      </c>
      <c r="K758" t="str">
        <f>"JWJTSZLDNDQF"</f>
        <v>JWJTSZLDNDQF</v>
      </c>
      <c r="L758" t="str">
        <f>"XLQTGIUJUJAI"</f>
        <v>XLQTGIUJUJAI</v>
      </c>
      <c r="M758">
        <v>283</v>
      </c>
      <c r="N758">
        <v>310902006</v>
      </c>
      <c r="O758" t="str">
        <f t="shared" si="277"/>
        <v>次</v>
      </c>
      <c r="P758" t="str">
        <f t="shared" si="278"/>
        <v>胃镜费</v>
      </c>
    </row>
    <row r="759" spans="1:16">
      <c r="A759" t="str">
        <f>"经胃镜特殊治疗微波法"</f>
        <v>经胃镜特殊治疗微波法</v>
      </c>
      <c r="B759" t="str">
        <f>"310902006-a"</f>
        <v>310902006-a</v>
      </c>
      <c r="C759" t="str">
        <f t="shared" si="273"/>
        <v>其他</v>
      </c>
      <c r="D759" t="str">
        <f>"003109020060000"</f>
        <v>003109020060000</v>
      </c>
      <c r="G759">
        <v>169</v>
      </c>
      <c r="I759" t="str">
        <f t="shared" si="276"/>
        <v>次</v>
      </c>
      <c r="K759" t="str">
        <f>"JWJTSZLWBF"</f>
        <v>JWJTSZLWBF</v>
      </c>
      <c r="L759" t="str">
        <f>"XLQTGIUTII"</f>
        <v>XLQTGIUTII</v>
      </c>
      <c r="M759">
        <v>169</v>
      </c>
      <c r="N759" t="str">
        <f>"310902006-a"</f>
        <v>310902006-a</v>
      </c>
      <c r="O759" t="str">
        <f t="shared" si="277"/>
        <v>次</v>
      </c>
      <c r="P759" t="str">
        <f t="shared" si="278"/>
        <v>胃镜费</v>
      </c>
    </row>
    <row r="760" spans="1:16">
      <c r="A760" t="str">
        <f>"肛门镜检查"</f>
        <v>肛门镜检查</v>
      </c>
      <c r="B760">
        <v>310904003</v>
      </c>
      <c r="C760" t="str">
        <f t="shared" si="273"/>
        <v>其他</v>
      </c>
      <c r="D760" t="str">
        <f>"003109040030000"</f>
        <v>003109040030000</v>
      </c>
      <c r="G760">
        <v>26</v>
      </c>
      <c r="I760" t="str">
        <f t="shared" si="276"/>
        <v>次</v>
      </c>
      <c r="K760" t="str">
        <f>"GMJJC"</f>
        <v>GMJJC</v>
      </c>
      <c r="L760" t="str">
        <f>"EUQSS"</f>
        <v>EUQSS</v>
      </c>
      <c r="M760">
        <v>26</v>
      </c>
      <c r="N760">
        <v>310904003</v>
      </c>
      <c r="O760" t="str">
        <f t="shared" si="277"/>
        <v>次</v>
      </c>
      <c r="P760" t="str">
        <f t="shared" ref="P760:P769" si="279">"治疗费"</f>
        <v>治疗费</v>
      </c>
    </row>
    <row r="761" spans="1:16">
      <c r="A761" t="str">
        <f>"肛门指检"</f>
        <v>肛门指检</v>
      </c>
      <c r="B761">
        <v>310904004</v>
      </c>
      <c r="C761" t="str">
        <f t="shared" si="273"/>
        <v>其他</v>
      </c>
      <c r="D761" t="str">
        <f>"003109040040000"</f>
        <v>003109040040000</v>
      </c>
      <c r="G761">
        <v>3.9</v>
      </c>
      <c r="I761" t="str">
        <f t="shared" si="276"/>
        <v>次</v>
      </c>
      <c r="K761" t="str">
        <f>"GMZJ"</f>
        <v>GMZJ</v>
      </c>
      <c r="L761" t="str">
        <f>"EURS"</f>
        <v>EURS</v>
      </c>
      <c r="M761">
        <v>4</v>
      </c>
      <c r="N761">
        <v>310904004</v>
      </c>
      <c r="O761" t="str">
        <f t="shared" si="277"/>
        <v>次</v>
      </c>
      <c r="P761" t="str">
        <f>"检查费"</f>
        <v>检查费</v>
      </c>
    </row>
    <row r="762" spans="1:16">
      <c r="A762" t="str">
        <f>"直肠肛门特殊治疗"</f>
        <v>直肠肛门特殊治疗</v>
      </c>
      <c r="B762">
        <v>310904006</v>
      </c>
      <c r="C762" t="str">
        <f t="shared" si="273"/>
        <v>其他</v>
      </c>
      <c r="D762" t="str">
        <f>"003109040060000"</f>
        <v>003109040060000</v>
      </c>
      <c r="G762">
        <v>65</v>
      </c>
      <c r="I762" t="str">
        <f t="shared" si="276"/>
        <v>次</v>
      </c>
      <c r="K762" t="str">
        <f>"ZCGMTSZL"</f>
        <v>ZCGMTSZL</v>
      </c>
      <c r="L762" t="str">
        <f>"FEEUTGIU"</f>
        <v>FEEUTGIU</v>
      </c>
      <c r="M762">
        <v>65</v>
      </c>
      <c r="N762">
        <v>310904006</v>
      </c>
      <c r="O762" t="str">
        <f t="shared" si="277"/>
        <v>次</v>
      </c>
      <c r="P762" t="str">
        <f t="shared" si="279"/>
        <v>治疗费</v>
      </c>
    </row>
    <row r="763" spans="1:16">
      <c r="A763" t="str">
        <f>"直肠肛门特殊治疗"</f>
        <v>直肠肛门特殊治疗</v>
      </c>
      <c r="B763" t="str">
        <f>"310904006-a"</f>
        <v>310904006-a</v>
      </c>
      <c r="C763" t="str">
        <f t="shared" si="273"/>
        <v>其他</v>
      </c>
      <c r="D763" t="str">
        <f>"003109040060000"</f>
        <v>003109040060000</v>
      </c>
      <c r="G763">
        <v>130</v>
      </c>
      <c r="I763" t="str">
        <f t="shared" si="276"/>
        <v>次</v>
      </c>
      <c r="K763" t="str">
        <f>"ZCGMTSZL"</f>
        <v>ZCGMTSZL</v>
      </c>
      <c r="L763" t="str">
        <f>"FEEUTGIU"</f>
        <v>FEEUTGIU</v>
      </c>
      <c r="M763">
        <v>130</v>
      </c>
      <c r="N763" t="str">
        <f>"310904006-a"</f>
        <v>310904006-a</v>
      </c>
      <c r="O763" t="str">
        <f t="shared" si="277"/>
        <v>次</v>
      </c>
      <c r="P763" t="str">
        <f t="shared" si="279"/>
        <v>治疗费</v>
      </c>
    </row>
    <row r="764" spans="1:16">
      <c r="A764" t="str">
        <f>"肛门皮下组织美兰注射神经阻滞术"</f>
        <v>肛门皮下组织美兰注射神经阻滞术</v>
      </c>
      <c r="B764">
        <v>310904007</v>
      </c>
      <c r="C764" t="str">
        <f t="shared" si="273"/>
        <v>其他</v>
      </c>
      <c r="D764" t="str">
        <f>"003109040070000"</f>
        <v>003109040070000</v>
      </c>
      <c r="G764">
        <v>78</v>
      </c>
      <c r="I764" t="str">
        <f t="shared" si="276"/>
        <v>次</v>
      </c>
      <c r="K764" t="str">
        <f>"GMPXZZMLZSSJZZS"</f>
        <v>GMPXZZMLZSSJZZS</v>
      </c>
      <c r="L764" t="str">
        <f>"EUHGXXUUITPXBIS"</f>
        <v>EUHGXXUUITPXBIS</v>
      </c>
      <c r="M764">
        <v>78</v>
      </c>
      <c r="N764">
        <v>310904007</v>
      </c>
      <c r="O764" t="str">
        <f t="shared" si="277"/>
        <v>次</v>
      </c>
      <c r="P764" t="str">
        <f t="shared" si="279"/>
        <v>治疗费</v>
      </c>
    </row>
    <row r="765" spans="1:16">
      <c r="A765" t="str">
        <f>"膀胱灌注"</f>
        <v>膀胱灌注</v>
      </c>
      <c r="B765">
        <v>311000031</v>
      </c>
      <c r="C765" t="str">
        <f t="shared" si="273"/>
        <v>其他</v>
      </c>
      <c r="D765" t="str">
        <f>"003110000310000"</f>
        <v>003110000310000</v>
      </c>
      <c r="G765">
        <v>20</v>
      </c>
      <c r="I765" t="str">
        <f t="shared" si="276"/>
        <v>次</v>
      </c>
      <c r="K765" t="str">
        <f>"BGGZ"</f>
        <v>BGGZ</v>
      </c>
      <c r="L765" t="str">
        <f>"EEII"</f>
        <v>EEII</v>
      </c>
      <c r="M765">
        <v>20</v>
      </c>
      <c r="N765">
        <v>311000031</v>
      </c>
      <c r="O765" t="str">
        <f t="shared" si="277"/>
        <v>次</v>
      </c>
      <c r="P765" t="str">
        <f t="shared" si="279"/>
        <v>治疗费</v>
      </c>
    </row>
    <row r="766" spans="1:16">
      <c r="A766" t="str">
        <f>"嵌顿包茎手法复位术"</f>
        <v>嵌顿包茎手法复位术</v>
      </c>
      <c r="B766">
        <v>311100002</v>
      </c>
      <c r="C766" t="str">
        <f t="shared" si="273"/>
        <v>其他</v>
      </c>
      <c r="D766" t="str">
        <f>"003111000020000"</f>
        <v>003111000020000</v>
      </c>
      <c r="G766">
        <v>78</v>
      </c>
      <c r="I766" t="str">
        <f t="shared" si="276"/>
        <v>次</v>
      </c>
      <c r="K766" t="str">
        <f>"QDBJSFFWS"</f>
        <v>QDBJSFFWS</v>
      </c>
      <c r="L766" t="str">
        <f>"MGQARITWS"</f>
        <v>MGQARITWS</v>
      </c>
      <c r="M766">
        <v>135</v>
      </c>
      <c r="N766">
        <v>311100002</v>
      </c>
      <c r="O766" t="str">
        <f t="shared" si="277"/>
        <v>次</v>
      </c>
      <c r="P766" t="str">
        <f t="shared" si="279"/>
        <v>治疗费</v>
      </c>
    </row>
    <row r="767" spans="1:16">
      <c r="A767" t="str">
        <f>"外阴病光照射治疗"</f>
        <v>外阴病光照射治疗</v>
      </c>
      <c r="B767">
        <v>311201003</v>
      </c>
      <c r="C767" t="str">
        <f t="shared" si="273"/>
        <v>其他</v>
      </c>
      <c r="D767" t="str">
        <f>"003112010030000"</f>
        <v>003112010030000</v>
      </c>
      <c r="G767">
        <v>13</v>
      </c>
      <c r="I767" t="str">
        <f t="shared" si="276"/>
        <v>次</v>
      </c>
      <c r="K767" t="str">
        <f>"WYBGZSZL"</f>
        <v>WYBGZSZL</v>
      </c>
      <c r="L767" t="str">
        <f>"QBUIJTIU"</f>
        <v>QBUIJTIU</v>
      </c>
      <c r="M767">
        <v>13</v>
      </c>
      <c r="N767">
        <v>311201003</v>
      </c>
      <c r="O767" t="str">
        <f t="shared" si="277"/>
        <v>次</v>
      </c>
      <c r="P767" t="str">
        <f t="shared" si="279"/>
        <v>治疗费</v>
      </c>
    </row>
    <row r="768" spans="1:16">
      <c r="A768" t="str">
        <f>"阴道填塞"</f>
        <v>阴道填塞</v>
      </c>
      <c r="B768">
        <v>311201005</v>
      </c>
      <c r="C768" t="str">
        <f t="shared" si="273"/>
        <v>其他</v>
      </c>
      <c r="D768" t="str">
        <f>"003112010050000"</f>
        <v>003112010050000</v>
      </c>
      <c r="G768">
        <v>39</v>
      </c>
      <c r="I768" t="str">
        <f t="shared" si="276"/>
        <v>次</v>
      </c>
      <c r="K768" t="str">
        <f>"YDTS"</f>
        <v>YDTS</v>
      </c>
      <c r="L768" t="str">
        <f>"BUFP"</f>
        <v>BUFP</v>
      </c>
      <c r="M768">
        <v>39</v>
      </c>
      <c r="N768">
        <v>311201005</v>
      </c>
      <c r="O768" t="str">
        <f t="shared" si="277"/>
        <v>次</v>
      </c>
      <c r="P768" t="str">
        <f t="shared" si="279"/>
        <v>治疗费</v>
      </c>
    </row>
    <row r="769" spans="1:16">
      <c r="A769" t="str">
        <f>"宫颈上药"</f>
        <v>宫颈上药</v>
      </c>
      <c r="B769">
        <v>311201009</v>
      </c>
      <c r="C769" t="str">
        <f t="shared" si="273"/>
        <v>其他</v>
      </c>
      <c r="D769" t="str">
        <f>"003112010090000"</f>
        <v>003112010090000</v>
      </c>
      <c r="G769">
        <v>13</v>
      </c>
      <c r="I769" t="str">
        <f t="shared" si="276"/>
        <v>次</v>
      </c>
      <c r="K769" t="str">
        <f>"GJSY"</f>
        <v>GJSY</v>
      </c>
      <c r="L769" t="str">
        <f>"PCHA"</f>
        <v>PCHA</v>
      </c>
      <c r="M769">
        <v>13</v>
      </c>
      <c r="N769">
        <v>311201009</v>
      </c>
      <c r="O769" t="str">
        <f t="shared" si="277"/>
        <v>次</v>
      </c>
      <c r="P769" t="str">
        <f t="shared" si="279"/>
        <v>治疗费</v>
      </c>
    </row>
    <row r="770" spans="1:16">
      <c r="A770" t="str">
        <f>"宫颈扩张术"</f>
        <v>宫颈扩张术</v>
      </c>
      <c r="B770">
        <v>311201010</v>
      </c>
      <c r="C770" t="str">
        <f t="shared" si="273"/>
        <v>其他</v>
      </c>
      <c r="D770" t="str">
        <f>"003112010100000"</f>
        <v>003112010100000</v>
      </c>
      <c r="G770">
        <v>39</v>
      </c>
      <c r="I770" t="str">
        <f t="shared" si="276"/>
        <v>次</v>
      </c>
      <c r="K770" t="str">
        <f>"GJKZS"</f>
        <v>GJKZS</v>
      </c>
      <c r="L770" t="str">
        <f>"PCRXS"</f>
        <v>PCRXS</v>
      </c>
      <c r="M770">
        <v>39</v>
      </c>
      <c r="N770">
        <v>311201010</v>
      </c>
      <c r="O770" t="str">
        <f t="shared" si="277"/>
        <v>次</v>
      </c>
      <c r="P770" t="str">
        <f>"手术费"</f>
        <v>手术费</v>
      </c>
    </row>
    <row r="771" spans="1:16">
      <c r="A771" t="str">
        <f>"宫颈内口探查术"</f>
        <v>宫颈内口探查术</v>
      </c>
      <c r="B771">
        <v>311201011</v>
      </c>
      <c r="C771" t="str">
        <f t="shared" si="273"/>
        <v>其他</v>
      </c>
      <c r="D771" t="str">
        <f>"003112010110000"</f>
        <v>003112010110000</v>
      </c>
      <c r="G771">
        <v>52</v>
      </c>
      <c r="I771" t="str">
        <f t="shared" si="276"/>
        <v>次</v>
      </c>
      <c r="K771" t="str">
        <f>"GJNKTCS"</f>
        <v>GJNKTCS</v>
      </c>
      <c r="L771" t="str">
        <f>"PCMKRSS"</f>
        <v>PCMKRSS</v>
      </c>
      <c r="M771">
        <v>52</v>
      </c>
      <c r="N771">
        <v>311201011</v>
      </c>
      <c r="O771" t="str">
        <f t="shared" si="277"/>
        <v>次</v>
      </c>
      <c r="P771" t="str">
        <f>"手术费"</f>
        <v>手术费</v>
      </c>
    </row>
    <row r="772" spans="1:16">
      <c r="A772" t="str">
        <f>"宫腔填塞"</f>
        <v>宫腔填塞</v>
      </c>
      <c r="B772">
        <v>311201019</v>
      </c>
      <c r="C772" t="str">
        <f t="shared" si="273"/>
        <v>其他</v>
      </c>
      <c r="D772" t="str">
        <f>"003112010190000"</f>
        <v>003112010190000</v>
      </c>
      <c r="G772">
        <v>65</v>
      </c>
      <c r="I772" t="str">
        <f t="shared" si="276"/>
        <v>次</v>
      </c>
      <c r="K772" t="str">
        <f>"GQTS"</f>
        <v>GQTS</v>
      </c>
      <c r="L772" t="str">
        <f>"PEFP"</f>
        <v>PEFP</v>
      </c>
      <c r="M772">
        <v>65</v>
      </c>
      <c r="N772">
        <v>311201019</v>
      </c>
      <c r="O772" t="str">
        <f t="shared" si="277"/>
        <v>次</v>
      </c>
      <c r="P772" t="str">
        <f>"治疗费"</f>
        <v>治疗费</v>
      </c>
    </row>
    <row r="773" spans="1:16">
      <c r="A773" t="str">
        <f>"胎心监测"</f>
        <v>胎心监测</v>
      </c>
      <c r="B773">
        <v>311201026</v>
      </c>
      <c r="C773" t="str">
        <f t="shared" si="273"/>
        <v>其他</v>
      </c>
      <c r="D773" t="str">
        <f>"003112010260000"</f>
        <v>003112010260000</v>
      </c>
      <c r="G773">
        <v>26</v>
      </c>
      <c r="I773" t="str">
        <f t="shared" si="276"/>
        <v>次</v>
      </c>
      <c r="K773" t="str">
        <f>"TXJC"</f>
        <v>TXJC</v>
      </c>
      <c r="L773" t="str">
        <f>"ENJI"</f>
        <v>ENJI</v>
      </c>
      <c r="M773">
        <v>26</v>
      </c>
      <c r="N773">
        <v>311201026</v>
      </c>
      <c r="O773" t="str">
        <f t="shared" si="277"/>
        <v>次</v>
      </c>
      <c r="P773" t="str">
        <f>"检查费"</f>
        <v>检查费</v>
      </c>
    </row>
    <row r="774" spans="1:16">
      <c r="A774" t="str">
        <f>"胎儿脐血流监测"</f>
        <v>胎儿脐血流监测</v>
      </c>
      <c r="B774">
        <v>311201028</v>
      </c>
      <c r="C774" t="str">
        <f>"检验"</f>
        <v>检验</v>
      </c>
      <c r="D774" t="str">
        <f>"003112010280000"</f>
        <v>003112010280000</v>
      </c>
      <c r="G774">
        <v>39</v>
      </c>
      <c r="I774">
        <v>1</v>
      </c>
      <c r="K774" t="str">
        <f>"TEQXLJC"</f>
        <v>TEQXLJC</v>
      </c>
      <c r="L774" t="str">
        <f>"EQETIJI"</f>
        <v>EQETIJI</v>
      </c>
      <c r="M774">
        <v>39</v>
      </c>
      <c r="N774">
        <v>311201028</v>
      </c>
      <c r="O774" t="str">
        <f>"每次"</f>
        <v>每次</v>
      </c>
      <c r="P774" t="str">
        <f>"检验费"</f>
        <v>检验费</v>
      </c>
    </row>
    <row r="775" spans="1:16">
      <c r="A775" t="str">
        <f>"胎盘成熟度检测"</f>
        <v>胎盘成熟度检测</v>
      </c>
      <c r="B775">
        <v>311201039</v>
      </c>
      <c r="C775" t="str">
        <f>"检查"</f>
        <v>检查</v>
      </c>
      <c r="D775" t="str">
        <f>"003112010390000"</f>
        <v>003112010390000</v>
      </c>
      <c r="G775">
        <v>20</v>
      </c>
      <c r="I775" t="str">
        <f>"项"</f>
        <v>项</v>
      </c>
      <c r="K775" t="str">
        <f>"TPCSDJC"</f>
        <v>TPCSDJC</v>
      </c>
      <c r="L775" t="str">
        <f>"ETDYYSI"</f>
        <v>ETDYYSI</v>
      </c>
      <c r="M775">
        <v>65</v>
      </c>
      <c r="N775">
        <v>311201039</v>
      </c>
      <c r="O775" t="str">
        <f>"项"</f>
        <v>项</v>
      </c>
      <c r="P775" t="str">
        <f>"检查费"</f>
        <v>检查费</v>
      </c>
    </row>
    <row r="776" spans="1:16">
      <c r="A776" t="str">
        <f>"宫内节育器放置术"</f>
        <v>宫内节育器放置术</v>
      </c>
      <c r="B776" t="str">
        <f>"311201048-1"</f>
        <v>311201048-1</v>
      </c>
      <c r="C776" t="str">
        <f t="shared" ref="C776:C782" si="280">"其他"</f>
        <v>其他</v>
      </c>
      <c r="D776" t="str">
        <f>"003112010480000"</f>
        <v>003112010480000</v>
      </c>
      <c r="G776">
        <v>26</v>
      </c>
      <c r="I776" t="str">
        <f t="shared" ref="I776:I782" si="281">"次"</f>
        <v>次</v>
      </c>
      <c r="K776" t="str">
        <f>"GNJYQFZS"</f>
        <v>GNJYQFZS</v>
      </c>
      <c r="L776" t="str">
        <f>"PMAYKYLS"</f>
        <v>PMAYKYLS</v>
      </c>
      <c r="M776">
        <v>180</v>
      </c>
      <c r="N776">
        <v>311201048</v>
      </c>
      <c r="O776" t="str">
        <f t="shared" ref="O776:O782" si="282">"次"</f>
        <v>次</v>
      </c>
      <c r="P776" t="str">
        <f t="shared" ref="P776:P778" si="283">"手术费"</f>
        <v>手术费</v>
      </c>
    </row>
    <row r="777" spans="1:16">
      <c r="A777" t="str">
        <f>"宫内节育器取出术"</f>
        <v>宫内节育器取出术</v>
      </c>
      <c r="B777" t="str">
        <f>"311201048-2"</f>
        <v>311201048-2</v>
      </c>
      <c r="C777" t="str">
        <f t="shared" si="280"/>
        <v>其他</v>
      </c>
      <c r="D777" t="str">
        <f>"003112010480000"</f>
        <v>003112010480000</v>
      </c>
      <c r="G777">
        <v>26</v>
      </c>
      <c r="I777">
        <v>1</v>
      </c>
      <c r="K777" t="str">
        <f>"GNJYQQCS"</f>
        <v>GNJYQQCS</v>
      </c>
      <c r="L777" t="str">
        <f>"PMAYKBBS"</f>
        <v>PMAYKBBS</v>
      </c>
      <c r="M777">
        <v>180</v>
      </c>
      <c r="N777">
        <v>311201048</v>
      </c>
      <c r="O777" t="str">
        <f t="shared" si="282"/>
        <v>次</v>
      </c>
      <c r="P777" t="str">
        <f t="shared" si="283"/>
        <v>手术费</v>
      </c>
    </row>
    <row r="778" spans="1:16">
      <c r="A778" t="str">
        <f>"刮宫术"</f>
        <v>刮宫术</v>
      </c>
      <c r="B778">
        <v>311201050</v>
      </c>
      <c r="C778" t="str">
        <f t="shared" si="280"/>
        <v>其他</v>
      </c>
      <c r="D778" t="str">
        <f>"003112010500000"</f>
        <v>003112010500000</v>
      </c>
      <c r="G778">
        <v>104</v>
      </c>
      <c r="I778" t="str">
        <f t="shared" si="281"/>
        <v>次</v>
      </c>
      <c r="K778" t="str">
        <f>"GGS"</f>
        <v>GGS</v>
      </c>
      <c r="L778" t="str">
        <f>"TPS"</f>
        <v>TPS</v>
      </c>
      <c r="M778">
        <v>210</v>
      </c>
      <c r="N778">
        <v>311201050</v>
      </c>
      <c r="O778" t="str">
        <f t="shared" si="282"/>
        <v>次</v>
      </c>
      <c r="P778" t="str">
        <f t="shared" si="283"/>
        <v>手术费</v>
      </c>
    </row>
    <row r="779" spans="1:16">
      <c r="A779" t="str">
        <f>"葡萄胎刮宫术"</f>
        <v>葡萄胎刮宫术</v>
      </c>
      <c r="B779">
        <v>311201052</v>
      </c>
      <c r="C779" t="str">
        <f t="shared" si="280"/>
        <v>其他</v>
      </c>
      <c r="D779" t="str">
        <f>"003112010520000"</f>
        <v>003112010520000</v>
      </c>
      <c r="G779">
        <v>260</v>
      </c>
      <c r="I779" t="str">
        <f t="shared" si="281"/>
        <v>次</v>
      </c>
      <c r="K779" t="str">
        <f>"PTTGGS"</f>
        <v>PTTGGS</v>
      </c>
      <c r="L779" t="str">
        <f>"AAETPS"</f>
        <v>AAETPS</v>
      </c>
      <c r="M779">
        <v>260</v>
      </c>
      <c r="N779">
        <v>311201052</v>
      </c>
      <c r="O779" t="str">
        <f t="shared" si="282"/>
        <v>次</v>
      </c>
      <c r="P779" t="str">
        <f t="shared" ref="P779:P782" si="284">"治疗费"</f>
        <v>治疗费</v>
      </c>
    </row>
    <row r="780" spans="1:16">
      <c r="A780" t="str">
        <f>"人工流产术"</f>
        <v>人工流产术</v>
      </c>
      <c r="B780">
        <v>311201053</v>
      </c>
      <c r="C780" t="str">
        <f t="shared" si="280"/>
        <v>其他</v>
      </c>
      <c r="D780" t="str">
        <f>"003112010530000"</f>
        <v>003112010530000</v>
      </c>
      <c r="G780">
        <v>78</v>
      </c>
      <c r="I780" t="str">
        <f t="shared" si="281"/>
        <v>次</v>
      </c>
      <c r="K780" t="str">
        <f>"RGLCS"</f>
        <v>RGLCS</v>
      </c>
      <c r="L780" t="str">
        <f>"WAIUS"</f>
        <v>WAIUS</v>
      </c>
      <c r="M780">
        <v>320</v>
      </c>
      <c r="N780">
        <v>311201053</v>
      </c>
      <c r="O780" t="str">
        <f t="shared" si="282"/>
        <v>次</v>
      </c>
      <c r="P780" t="str">
        <f>"手术费"</f>
        <v>手术费</v>
      </c>
    </row>
    <row r="781" spans="1:16">
      <c r="A781" t="str">
        <f>"药物性引产处置术"</f>
        <v>药物性引产处置术</v>
      </c>
      <c r="B781">
        <v>311201056</v>
      </c>
      <c r="C781" t="str">
        <f t="shared" si="280"/>
        <v>其他</v>
      </c>
      <c r="D781" t="str">
        <f>"003112010560000"</f>
        <v>003112010560000</v>
      </c>
      <c r="G781">
        <v>104</v>
      </c>
      <c r="I781" t="str">
        <f t="shared" si="281"/>
        <v>次</v>
      </c>
      <c r="K781" t="str">
        <f>"YWXYCCZS"</f>
        <v>YWXYCCZS</v>
      </c>
      <c r="L781" t="str">
        <f>"ATNXUTLS"</f>
        <v>ATNXUTLS</v>
      </c>
      <c r="M781">
        <v>104</v>
      </c>
      <c r="N781">
        <v>311201056</v>
      </c>
      <c r="O781" t="str">
        <f t="shared" si="282"/>
        <v>次</v>
      </c>
      <c r="P781" t="str">
        <f t="shared" si="284"/>
        <v>治疗费</v>
      </c>
    </row>
    <row r="782" spans="1:16">
      <c r="A782" t="str">
        <f>"乳房按摩"</f>
        <v>乳房按摩</v>
      </c>
      <c r="B782">
        <v>311201057</v>
      </c>
      <c r="C782" t="str">
        <f t="shared" si="280"/>
        <v>其他</v>
      </c>
      <c r="D782" t="str">
        <f>"003112010570000"</f>
        <v>003112010570000</v>
      </c>
      <c r="G782">
        <v>6.5</v>
      </c>
      <c r="I782" t="str">
        <f t="shared" si="281"/>
        <v>次</v>
      </c>
      <c r="K782" t="str">
        <f>"RFAM"</f>
        <v>RFAM</v>
      </c>
      <c r="L782" t="str">
        <f>"EYRY"</f>
        <v>EYRY</v>
      </c>
      <c r="M782">
        <v>6.5</v>
      </c>
      <c r="N782">
        <v>311201057</v>
      </c>
      <c r="O782" t="str">
        <f t="shared" si="282"/>
        <v>次</v>
      </c>
      <c r="P782" t="str">
        <f t="shared" si="284"/>
        <v>治疗费</v>
      </c>
    </row>
    <row r="783" spans="1:16">
      <c r="A783" t="str">
        <f>"新生儿经皮胆红素测定（头部）"</f>
        <v>新生儿经皮胆红素测定（头部）</v>
      </c>
      <c r="B783" t="str">
        <f>"311202011-1"</f>
        <v>311202011-1</v>
      </c>
      <c r="C783" t="str">
        <f t="shared" ref="C783:C785" si="285">"检查"</f>
        <v>检查</v>
      </c>
      <c r="D783" t="str">
        <f t="shared" ref="D783:D785" si="286">"003112020110000"</f>
        <v>003112020110000</v>
      </c>
      <c r="G783">
        <v>6.5</v>
      </c>
      <c r="I783" t="str">
        <f>"每次"</f>
        <v>每次</v>
      </c>
      <c r="K783" t="str">
        <f>"XSEJPDHSCDTB"</f>
        <v>XSEJPDHSCDTB</v>
      </c>
      <c r="L783" t="str">
        <f>"UTQXHEXGIPUU"</f>
        <v>UTQXHEXGIPUU</v>
      </c>
      <c r="M783">
        <v>6.5</v>
      </c>
      <c r="N783">
        <v>311202011</v>
      </c>
      <c r="O783" t="str">
        <f>"每次"</f>
        <v>每次</v>
      </c>
      <c r="P783" t="str">
        <f t="shared" ref="P783:P785" si="287">"检查费"</f>
        <v>检查费</v>
      </c>
    </row>
    <row r="784" spans="1:16">
      <c r="A784" t="str">
        <f>"新生儿经皮胆红素测定（胸部）"</f>
        <v>新生儿经皮胆红素测定（胸部）</v>
      </c>
      <c r="B784" t="str">
        <f>"311202011-2"</f>
        <v>311202011-2</v>
      </c>
      <c r="C784" t="str">
        <f t="shared" si="285"/>
        <v>检查</v>
      </c>
      <c r="D784" t="str">
        <f t="shared" si="286"/>
        <v>003112020110000</v>
      </c>
      <c r="G784">
        <v>6.5</v>
      </c>
      <c r="I784" t="str">
        <f>"每个部位"</f>
        <v>每个部位</v>
      </c>
      <c r="K784" t="str">
        <f>"XSEJPDHSCDXB"</f>
        <v>XSEJPDHSCDXB</v>
      </c>
      <c r="L784" t="str">
        <f>"UTQXHEXGIPEU"</f>
        <v>UTQXHEXGIPEU</v>
      </c>
      <c r="M784">
        <v>6.5</v>
      </c>
      <c r="N784">
        <v>311202011</v>
      </c>
      <c r="O784" t="str">
        <f>"每个部位"</f>
        <v>每个部位</v>
      </c>
      <c r="P784" t="str">
        <f t="shared" si="287"/>
        <v>检查费</v>
      </c>
    </row>
    <row r="785" spans="1:16">
      <c r="A785" t="str">
        <f>"新生儿经皮胆红素测定（腿部）"</f>
        <v>新生儿经皮胆红素测定（腿部）</v>
      </c>
      <c r="B785" t="str">
        <f>"311202011-3"</f>
        <v>311202011-3</v>
      </c>
      <c r="C785" t="str">
        <f t="shared" si="285"/>
        <v>检查</v>
      </c>
      <c r="D785" t="str">
        <f t="shared" si="286"/>
        <v>003112020110000</v>
      </c>
      <c r="G785">
        <v>6.5</v>
      </c>
      <c r="I785" t="str">
        <f>"每个 部位"</f>
        <v>每个 部位</v>
      </c>
      <c r="K785" t="str">
        <f>"XSEJPDHSCDTB"</f>
        <v>XSEJPDHSCDTB</v>
      </c>
      <c r="L785" t="str">
        <f>"UTQXHEXGIPEU"</f>
        <v>UTQXHEXGIPEU</v>
      </c>
      <c r="M785">
        <v>6.5</v>
      </c>
      <c r="N785">
        <v>311202011</v>
      </c>
      <c r="O785" t="str">
        <f>"每个 部位"</f>
        <v>每个 部位</v>
      </c>
      <c r="P785" t="str">
        <f t="shared" si="287"/>
        <v>检查费</v>
      </c>
    </row>
    <row r="786" spans="1:16">
      <c r="A786" t="str">
        <f>"关节穿刺术"</f>
        <v>关节穿刺术</v>
      </c>
      <c r="B786">
        <v>311300002</v>
      </c>
      <c r="C786" t="str">
        <f t="shared" ref="C786:C801" si="288">"其他"</f>
        <v>其他</v>
      </c>
      <c r="D786" t="str">
        <f>"003113000020000"</f>
        <v>003113000020000</v>
      </c>
      <c r="G786">
        <v>65</v>
      </c>
      <c r="I786" t="str">
        <f t="shared" ref="I786:I791" si="289">"次"</f>
        <v>次</v>
      </c>
      <c r="K786" t="str">
        <f>"GJCCS"</f>
        <v>GJCCS</v>
      </c>
      <c r="L786" t="str">
        <f>"UAPGS"</f>
        <v>UAPGS</v>
      </c>
      <c r="M786">
        <v>65</v>
      </c>
      <c r="N786">
        <v>311300002</v>
      </c>
      <c r="O786" t="str">
        <f t="shared" ref="O786:O797" si="290">"次"</f>
        <v>次</v>
      </c>
      <c r="P786" t="str">
        <f t="shared" ref="P786:P804" si="291">"治疗费"</f>
        <v>治疗费</v>
      </c>
    </row>
    <row r="787" spans="1:16">
      <c r="A787" t="str">
        <f>"骨膜封闭术"</f>
        <v>骨膜封闭术</v>
      </c>
      <c r="B787">
        <v>311300005</v>
      </c>
      <c r="C787" t="str">
        <f t="shared" si="288"/>
        <v>其他</v>
      </c>
      <c r="D787" t="str">
        <f>"003113000050000"</f>
        <v>003113000050000</v>
      </c>
      <c r="G787">
        <v>46</v>
      </c>
      <c r="I787" t="str">
        <f t="shared" si="289"/>
        <v>次</v>
      </c>
      <c r="K787" t="str">
        <f>"GMFBS"</f>
        <v>GMFBS</v>
      </c>
      <c r="L787" t="str">
        <f>"MEFUS"</f>
        <v>MEFUS</v>
      </c>
      <c r="M787">
        <v>46</v>
      </c>
      <c r="N787">
        <v>311300005</v>
      </c>
      <c r="O787" t="str">
        <f t="shared" si="290"/>
        <v>次</v>
      </c>
      <c r="P787" t="str">
        <f t="shared" si="291"/>
        <v>治疗费</v>
      </c>
    </row>
    <row r="788" spans="1:16">
      <c r="A788" t="str">
        <f>"软组织内封闭术"</f>
        <v>软组织内封闭术</v>
      </c>
      <c r="B788">
        <v>311300006</v>
      </c>
      <c r="C788" t="str">
        <f t="shared" si="288"/>
        <v>其他</v>
      </c>
      <c r="D788" t="str">
        <f>"003113000060000"</f>
        <v>003113000060000</v>
      </c>
      <c r="G788">
        <v>33</v>
      </c>
      <c r="I788" t="str">
        <f t="shared" si="289"/>
        <v>次</v>
      </c>
      <c r="K788" t="str">
        <f>"RZZNFBS"</f>
        <v>RZZNFBS</v>
      </c>
      <c r="L788" t="str">
        <f>"LXXMFUS"</f>
        <v>LXXMFUS</v>
      </c>
      <c r="M788">
        <v>33</v>
      </c>
      <c r="N788">
        <v>311300006</v>
      </c>
      <c r="O788" t="str">
        <f t="shared" si="290"/>
        <v>次</v>
      </c>
      <c r="P788" t="str">
        <f t="shared" si="291"/>
        <v>治疗费</v>
      </c>
    </row>
    <row r="789" spans="1:16">
      <c r="A789" t="str">
        <f>"神经根封闭术"</f>
        <v>神经根封闭术</v>
      </c>
      <c r="B789">
        <v>311300007</v>
      </c>
      <c r="C789" t="str">
        <f t="shared" si="288"/>
        <v>其他</v>
      </c>
      <c r="D789" t="str">
        <f>"003113000070000"</f>
        <v>003113000070000</v>
      </c>
      <c r="G789">
        <v>52</v>
      </c>
      <c r="I789" t="str">
        <f t="shared" si="289"/>
        <v>次</v>
      </c>
      <c r="K789" t="str">
        <f>"SJGFBS"</f>
        <v>SJGFBS</v>
      </c>
      <c r="L789" t="str">
        <f>"PXSFUS"</f>
        <v>PXSFUS</v>
      </c>
      <c r="M789">
        <v>52</v>
      </c>
      <c r="N789">
        <v>311300007</v>
      </c>
      <c r="O789" t="str">
        <f t="shared" si="290"/>
        <v>次</v>
      </c>
      <c r="P789" t="str">
        <f t="shared" si="291"/>
        <v>治疗费</v>
      </c>
    </row>
    <row r="790" spans="1:16">
      <c r="A790" t="str">
        <f>"周围神经封闭术"</f>
        <v>周围神经封闭术</v>
      </c>
      <c r="B790">
        <v>311300008</v>
      </c>
      <c r="C790" t="str">
        <f t="shared" si="288"/>
        <v>其他</v>
      </c>
      <c r="D790" t="str">
        <f>"003113000080000"</f>
        <v>003113000080000</v>
      </c>
      <c r="G790">
        <v>33</v>
      </c>
      <c r="I790" t="str">
        <f t="shared" si="289"/>
        <v>次</v>
      </c>
      <c r="K790" t="str">
        <f>"ZWSJFBS"</f>
        <v>ZWSJFBS</v>
      </c>
      <c r="L790" t="str">
        <f>"MLPXFUS"</f>
        <v>MLPXFUS</v>
      </c>
      <c r="M790">
        <v>33</v>
      </c>
      <c r="N790">
        <v>311300008</v>
      </c>
      <c r="O790" t="str">
        <f t="shared" si="290"/>
        <v>次</v>
      </c>
      <c r="P790" t="str">
        <f t="shared" si="291"/>
        <v>治疗费</v>
      </c>
    </row>
    <row r="791" spans="1:16">
      <c r="A791" t="str">
        <f>"神经丛封闭术"</f>
        <v>神经丛封闭术</v>
      </c>
      <c r="B791" t="str">
        <f>"311300009-1"</f>
        <v>311300009-1</v>
      </c>
      <c r="C791" t="str">
        <f t="shared" si="288"/>
        <v>其他</v>
      </c>
      <c r="D791" t="str">
        <f t="shared" ref="D791:D793" si="292">"003113000090000"</f>
        <v>003113000090000</v>
      </c>
      <c r="G791">
        <v>46</v>
      </c>
      <c r="I791" t="str">
        <f t="shared" si="289"/>
        <v>次</v>
      </c>
      <c r="K791" t="str">
        <f>"SJCFBS"</f>
        <v>SJCFBS</v>
      </c>
      <c r="L791" t="str">
        <f>"PXWFUS"</f>
        <v>PXWFUS</v>
      </c>
      <c r="M791">
        <v>46</v>
      </c>
      <c r="N791">
        <v>311300009</v>
      </c>
      <c r="O791" t="str">
        <f t="shared" si="290"/>
        <v>次</v>
      </c>
      <c r="P791" t="str">
        <f t="shared" si="291"/>
        <v>治疗费</v>
      </c>
    </row>
    <row r="792" spans="1:16">
      <c r="A792" t="str">
        <f>"神经丛封闭术（腰骶丛）"</f>
        <v>神经丛封闭术（腰骶丛）</v>
      </c>
      <c r="B792" t="str">
        <f>"311300009-2"</f>
        <v>311300009-2</v>
      </c>
      <c r="C792" t="str">
        <f t="shared" si="288"/>
        <v>其他</v>
      </c>
      <c r="D792" t="str">
        <f t="shared" si="292"/>
        <v>003113000090000</v>
      </c>
      <c r="G792">
        <v>46</v>
      </c>
      <c r="I792">
        <v>1</v>
      </c>
      <c r="K792" t="str">
        <f>"SJCFBS（YDC）"</f>
        <v>SJCFBS（YDC）</v>
      </c>
      <c r="L792" t="str">
        <f>"PXWFUSEMW"</f>
        <v>PXWFUSEMW</v>
      </c>
      <c r="M792">
        <v>46</v>
      </c>
      <c r="N792">
        <v>311300009</v>
      </c>
      <c r="O792" t="str">
        <f t="shared" si="290"/>
        <v>次</v>
      </c>
      <c r="P792" t="str">
        <f t="shared" si="291"/>
        <v>治疗费</v>
      </c>
    </row>
    <row r="793" spans="1:16">
      <c r="A793" t="str">
        <f>"神经丛封闭术（臂丛）"</f>
        <v>神经丛封闭术（臂丛）</v>
      </c>
      <c r="B793" t="str">
        <f>"311300009-3"</f>
        <v>311300009-3</v>
      </c>
      <c r="C793" t="str">
        <f t="shared" si="288"/>
        <v>其他</v>
      </c>
      <c r="D793" t="str">
        <f t="shared" si="292"/>
        <v>003113000090000</v>
      </c>
      <c r="G793">
        <v>46</v>
      </c>
      <c r="I793">
        <v>1</v>
      </c>
      <c r="K793" t="str">
        <f>"SJCFBS（BC）"</f>
        <v>SJCFBS（BC）</v>
      </c>
      <c r="L793" t="str">
        <f>"PXWFUSNW"</f>
        <v>PXWFUSNW</v>
      </c>
      <c r="M793">
        <v>46</v>
      </c>
      <c r="N793">
        <v>311300009</v>
      </c>
      <c r="O793" t="str">
        <f t="shared" si="290"/>
        <v>次</v>
      </c>
      <c r="P793" t="str">
        <f t="shared" si="291"/>
        <v>治疗费</v>
      </c>
    </row>
    <row r="794" spans="1:16">
      <c r="A794" t="str">
        <f>"鞘内注射"</f>
        <v>鞘内注射</v>
      </c>
      <c r="B794" t="str">
        <f>"311300010-2"</f>
        <v>311300010-2</v>
      </c>
      <c r="C794" t="str">
        <f t="shared" si="288"/>
        <v>其他</v>
      </c>
      <c r="D794" t="str">
        <f>"003113000100000"</f>
        <v>003113000100000</v>
      </c>
      <c r="G794">
        <v>65</v>
      </c>
      <c r="I794" t="str">
        <f t="shared" ref="I794:I797" si="293">"次"</f>
        <v>次</v>
      </c>
      <c r="K794" t="str">
        <f>"QNZS"</f>
        <v>QNZS</v>
      </c>
      <c r="L794" t="str">
        <f>"AMIT"</f>
        <v>AMIT</v>
      </c>
      <c r="M794">
        <v>65</v>
      </c>
      <c r="N794">
        <v>311300010</v>
      </c>
      <c r="O794" t="str">
        <f t="shared" si="290"/>
        <v>次</v>
      </c>
      <c r="P794" t="str">
        <f t="shared" si="291"/>
        <v>治疗费</v>
      </c>
    </row>
    <row r="795" spans="1:16">
      <c r="A795" t="str">
        <f>"性病检查"</f>
        <v>性病检查</v>
      </c>
      <c r="B795">
        <v>311400002</v>
      </c>
      <c r="C795" t="str">
        <f t="shared" si="288"/>
        <v>其他</v>
      </c>
      <c r="D795" t="str">
        <f>"003114000020000"</f>
        <v>003114000020000</v>
      </c>
      <c r="G795">
        <v>20</v>
      </c>
      <c r="I795" t="str">
        <f t="shared" si="293"/>
        <v>次</v>
      </c>
      <c r="K795" t="str">
        <f>"XBJC"</f>
        <v>XBJC</v>
      </c>
      <c r="L795" t="str">
        <f>"NUSS"</f>
        <v>NUSS</v>
      </c>
      <c r="M795">
        <v>22</v>
      </c>
      <c r="N795">
        <v>311400002</v>
      </c>
      <c r="O795" t="str">
        <f t="shared" si="290"/>
        <v>次</v>
      </c>
      <c r="P795" t="str">
        <f t="shared" si="291"/>
        <v>治疗费</v>
      </c>
    </row>
    <row r="796" spans="1:16">
      <c r="A796" t="str">
        <f>"皮肤活检术"</f>
        <v>皮肤活检术</v>
      </c>
      <c r="B796">
        <v>311400003</v>
      </c>
      <c r="C796" t="str">
        <f t="shared" si="288"/>
        <v>其他</v>
      </c>
      <c r="D796" t="str">
        <f>"003114000030000"</f>
        <v>003114000030000</v>
      </c>
      <c r="G796">
        <v>39</v>
      </c>
      <c r="I796" t="str">
        <f t="shared" si="293"/>
        <v>次</v>
      </c>
      <c r="K796" t="str">
        <f>"PFHJS"</f>
        <v>PFHJS</v>
      </c>
      <c r="L796" t="str">
        <f>"HEISS"</f>
        <v>HEISS</v>
      </c>
      <c r="M796">
        <v>45</v>
      </c>
      <c r="N796">
        <v>311400003</v>
      </c>
      <c r="O796" t="str">
        <f t="shared" si="290"/>
        <v>次</v>
      </c>
      <c r="P796" t="str">
        <f t="shared" si="291"/>
        <v>治疗费</v>
      </c>
    </row>
    <row r="797" spans="1:16">
      <c r="A797" t="str">
        <f>"皮肤赘生物电烧治疗"</f>
        <v>皮肤赘生物电烧治疗</v>
      </c>
      <c r="B797">
        <v>311400014</v>
      </c>
      <c r="C797" t="str">
        <f t="shared" si="288"/>
        <v>其他</v>
      </c>
      <c r="D797" t="str">
        <f>"003114000140000"</f>
        <v>003114000140000</v>
      </c>
      <c r="G797">
        <v>6.5</v>
      </c>
      <c r="I797" t="str">
        <f t="shared" si="293"/>
        <v>次</v>
      </c>
      <c r="K797" t="str">
        <f>"PFZSWDSZL"</f>
        <v>PFZSWDSZL</v>
      </c>
      <c r="L797" t="str">
        <f>"HEGTTJOIU"</f>
        <v>HEGTTJOIU</v>
      </c>
      <c r="M797">
        <v>7.5</v>
      </c>
      <c r="N797">
        <v>311400014</v>
      </c>
      <c r="O797" t="str">
        <f t="shared" si="290"/>
        <v>次</v>
      </c>
      <c r="P797" t="str">
        <f t="shared" si="291"/>
        <v>治疗费</v>
      </c>
    </row>
    <row r="798" spans="1:16">
      <c r="A798" t="str">
        <f>"红光治疗"</f>
        <v>红光治疗</v>
      </c>
      <c r="B798">
        <v>311400016</v>
      </c>
      <c r="C798" t="str">
        <f t="shared" si="288"/>
        <v>其他</v>
      </c>
      <c r="G798">
        <v>28</v>
      </c>
      <c r="I798" t="str">
        <f>"每个部位"</f>
        <v>每个部位</v>
      </c>
      <c r="K798" t="str">
        <f>"HGZL"</f>
        <v>HGZL</v>
      </c>
      <c r="L798" t="str">
        <f>"XIIU"</f>
        <v>XIIU</v>
      </c>
      <c r="M798">
        <v>28</v>
      </c>
      <c r="N798">
        <v>311400016</v>
      </c>
      <c r="O798" t="str">
        <f>"每个部位"</f>
        <v>每个部位</v>
      </c>
      <c r="P798" t="str">
        <f t="shared" si="291"/>
        <v>治疗费</v>
      </c>
    </row>
    <row r="799" spans="1:16">
      <c r="A799" t="str">
        <f>"面部磨削术"</f>
        <v>面部磨削术</v>
      </c>
      <c r="B799">
        <v>311400018</v>
      </c>
      <c r="C799" t="str">
        <f t="shared" si="288"/>
        <v>其他</v>
      </c>
      <c r="D799" t="str">
        <f>"003114000180000"</f>
        <v>003114000180000</v>
      </c>
      <c r="G799">
        <v>22</v>
      </c>
      <c r="I799" t="str">
        <f t="shared" ref="I799:I802" si="294">"次"</f>
        <v>次</v>
      </c>
      <c r="K799" t="str">
        <f>"MBMXS"</f>
        <v>MBMXS</v>
      </c>
      <c r="L799" t="str">
        <f>"DUYIS"</f>
        <v>DUYIS</v>
      </c>
      <c r="M799">
        <v>22</v>
      </c>
      <c r="N799">
        <v>311400018</v>
      </c>
      <c r="O799" t="str">
        <f>"次"</f>
        <v>次</v>
      </c>
      <c r="P799" t="str">
        <f t="shared" si="291"/>
        <v>治疗费</v>
      </c>
    </row>
    <row r="800" spans="1:16">
      <c r="A800" t="str">
        <f>"丘疹挤粟治疗"</f>
        <v>丘疹挤粟治疗</v>
      </c>
      <c r="B800">
        <v>311400020</v>
      </c>
      <c r="C800" t="str">
        <f t="shared" si="288"/>
        <v>其他</v>
      </c>
      <c r="D800" t="str">
        <f>"003114000200000"</f>
        <v>003114000200000</v>
      </c>
      <c r="G800">
        <v>2.6</v>
      </c>
      <c r="I800" t="str">
        <f t="shared" si="294"/>
        <v>次</v>
      </c>
      <c r="K800" t="str">
        <f>"QZJSZL"</f>
        <v>QZJSZL</v>
      </c>
      <c r="L800" t="str">
        <f>"RURSIU"</f>
        <v>RURSIU</v>
      </c>
      <c r="M800">
        <v>3</v>
      </c>
      <c r="N800">
        <v>311400020</v>
      </c>
      <c r="O800" t="str">
        <f>"个"</f>
        <v>个</v>
      </c>
      <c r="P800" t="str">
        <f t="shared" si="291"/>
        <v>治疗费</v>
      </c>
    </row>
    <row r="801" spans="1:16">
      <c r="A801" t="str">
        <f>"甲癣封包治疗"</f>
        <v>甲癣封包治疗</v>
      </c>
      <c r="B801">
        <v>311400021</v>
      </c>
      <c r="C801" t="str">
        <f t="shared" si="288"/>
        <v>其他</v>
      </c>
      <c r="D801" t="str">
        <f>"003114000210000"</f>
        <v>003114000210000</v>
      </c>
      <c r="G801">
        <v>20</v>
      </c>
      <c r="I801" t="str">
        <f t="shared" si="294"/>
        <v>次</v>
      </c>
      <c r="K801" t="str">
        <f>"JXFBZL"</f>
        <v>JXFBZL</v>
      </c>
      <c r="L801" t="str">
        <f>"LUFQIU"</f>
        <v>LUFQIU</v>
      </c>
      <c r="M801">
        <v>22</v>
      </c>
      <c r="N801">
        <v>311400021</v>
      </c>
      <c r="O801" t="str">
        <f>"每个指(趾)甲"</f>
        <v>每个指(趾)甲</v>
      </c>
      <c r="P801" t="str">
        <f t="shared" si="291"/>
        <v>治疗费</v>
      </c>
    </row>
    <row r="802" spans="1:16">
      <c r="A802" t="str">
        <f>"药物面膜综合治疗"</f>
        <v>药物面膜综合治疗</v>
      </c>
      <c r="B802">
        <v>311400024</v>
      </c>
      <c r="C802" t="str">
        <f>"治疗"</f>
        <v>治疗</v>
      </c>
      <c r="G802">
        <v>29</v>
      </c>
      <c r="I802" t="str">
        <f t="shared" si="294"/>
        <v>次</v>
      </c>
      <c r="K802" t="str">
        <f>"YWMMZHZL"</f>
        <v>YWMMZHZL</v>
      </c>
      <c r="L802" t="str">
        <f>"ATDEXWIU"</f>
        <v>ATDEXWIU</v>
      </c>
      <c r="M802">
        <v>29</v>
      </c>
      <c r="N802">
        <v>311400024</v>
      </c>
      <c r="O802" t="str">
        <f>"次"</f>
        <v>次</v>
      </c>
      <c r="P802" t="str">
        <f t="shared" si="291"/>
        <v>治疗费</v>
      </c>
    </row>
    <row r="803" spans="1:16">
      <c r="A803" t="str">
        <f>"疱病清疮术"</f>
        <v>疱病清疮术</v>
      </c>
      <c r="B803">
        <v>311400025</v>
      </c>
      <c r="C803" t="str">
        <f t="shared" ref="C803:C814" si="295">"其他"</f>
        <v>其他</v>
      </c>
      <c r="D803" t="str">
        <f>"003114000250000"</f>
        <v>003114000250000</v>
      </c>
      <c r="G803">
        <v>20</v>
      </c>
      <c r="I803" t="str">
        <f>"每个部位"</f>
        <v>每个部位</v>
      </c>
      <c r="K803" t="str">
        <f>"PBQCS"</f>
        <v>PBQCS</v>
      </c>
      <c r="L803" t="str">
        <f>"UUIUS"</f>
        <v>UUIUS</v>
      </c>
      <c r="M803">
        <v>22</v>
      </c>
      <c r="N803">
        <v>311400025</v>
      </c>
      <c r="O803" t="str">
        <f>"每个部位"</f>
        <v>每个部位</v>
      </c>
      <c r="P803" t="str">
        <f t="shared" si="291"/>
        <v>治疗费</v>
      </c>
    </row>
    <row r="804" spans="1:16">
      <c r="A804" t="str">
        <f>"疱液抽取术"</f>
        <v>疱液抽取术</v>
      </c>
      <c r="B804">
        <v>311400026</v>
      </c>
      <c r="C804" t="str">
        <f t="shared" si="295"/>
        <v>其他</v>
      </c>
      <c r="D804" t="str">
        <f>"003114000260000"</f>
        <v>003114000260000</v>
      </c>
      <c r="G804">
        <v>3.9</v>
      </c>
      <c r="I804" t="str">
        <f>"每个"</f>
        <v>每个</v>
      </c>
      <c r="K804" t="str">
        <f>"PYCQS"</f>
        <v>PYCQS</v>
      </c>
      <c r="L804" t="str">
        <f>"UIRBS"</f>
        <v>UIRBS</v>
      </c>
      <c r="M804">
        <v>4.5</v>
      </c>
      <c r="N804">
        <v>311400026</v>
      </c>
      <c r="O804" t="str">
        <f>"个"</f>
        <v>个</v>
      </c>
      <c r="P804" t="str">
        <f t="shared" si="291"/>
        <v>治疗费</v>
      </c>
    </row>
    <row r="805" spans="1:16">
      <c r="A805" t="str">
        <f>"皮肤溃疡清创术"</f>
        <v>皮肤溃疡清创术</v>
      </c>
      <c r="B805">
        <v>311400027</v>
      </c>
      <c r="C805" t="str">
        <f t="shared" si="295"/>
        <v>其他</v>
      </c>
      <c r="D805" t="str">
        <f>"003114000270000"</f>
        <v>003114000270000</v>
      </c>
      <c r="G805">
        <v>13</v>
      </c>
      <c r="I805" t="str">
        <f t="shared" ref="I805:I808" si="296">"次"</f>
        <v>次</v>
      </c>
      <c r="K805" t="str">
        <f>"PFKYQCS"</f>
        <v>PFKYQCS</v>
      </c>
      <c r="L805" t="str">
        <f>"HEIUIWS"</f>
        <v>HEIUIWS</v>
      </c>
      <c r="M805">
        <v>15</v>
      </c>
      <c r="N805">
        <v>311400027</v>
      </c>
      <c r="O805" t="str">
        <f>"每创面"</f>
        <v>每创面</v>
      </c>
      <c r="P805" t="str">
        <f>"手术费"</f>
        <v>手术费</v>
      </c>
    </row>
    <row r="806" spans="1:16">
      <c r="A806" t="str">
        <f>"血管瘤硬化剂注射治疗"</f>
        <v>血管瘤硬化剂注射治疗</v>
      </c>
      <c r="B806">
        <v>311400031</v>
      </c>
      <c r="C806" t="str">
        <f t="shared" si="295"/>
        <v>其他</v>
      </c>
      <c r="D806" t="str">
        <f>"003114000310000"</f>
        <v>003114000310000</v>
      </c>
      <c r="G806">
        <v>13</v>
      </c>
      <c r="I806" t="str">
        <f t="shared" si="296"/>
        <v>次</v>
      </c>
      <c r="K806" t="str">
        <f>"XGLYHJZSZL"</f>
        <v>XGLYHJZSZL</v>
      </c>
      <c r="L806" t="str">
        <f>"TTUDWYITIU"</f>
        <v>TTUDWYITIU</v>
      </c>
      <c r="M806">
        <v>15</v>
      </c>
      <c r="N806">
        <v>311400031</v>
      </c>
      <c r="O806" t="str">
        <f t="shared" ref="O806:O813" si="297">"次"</f>
        <v>次</v>
      </c>
      <c r="P806" t="str">
        <f t="shared" ref="P806:P810" si="298">"治疗费"</f>
        <v>治疗费</v>
      </c>
    </row>
    <row r="807" spans="1:16">
      <c r="A807" t="str">
        <f>"脉冲激光治疗"</f>
        <v>脉冲激光治疗</v>
      </c>
      <c r="B807">
        <v>311400032</v>
      </c>
      <c r="C807" t="str">
        <f t="shared" si="295"/>
        <v>其他</v>
      </c>
      <c r="G807">
        <v>15</v>
      </c>
      <c r="I807" t="str">
        <f t="shared" si="296"/>
        <v>次</v>
      </c>
      <c r="K807" t="str">
        <f>"MCJGZL"</f>
        <v>MCJGZL</v>
      </c>
      <c r="L807" t="str">
        <f>"EUIIIU"</f>
        <v>EUIIIU</v>
      </c>
      <c r="M807">
        <v>15</v>
      </c>
      <c r="N807">
        <v>311400032</v>
      </c>
      <c r="O807" t="str">
        <f>"每个光斑"</f>
        <v>每个光斑</v>
      </c>
      <c r="P807" t="str">
        <f t="shared" si="298"/>
        <v>治疗费</v>
      </c>
    </row>
    <row r="808" spans="1:16">
      <c r="A808" t="str">
        <f>"二氧化碳(CO2)激光治疗"</f>
        <v>二氧化碳(CO2)激光治疗</v>
      </c>
      <c r="B808">
        <v>311400033</v>
      </c>
      <c r="C808" t="str">
        <f t="shared" si="295"/>
        <v>其他</v>
      </c>
      <c r="D808" t="str">
        <f>"003114000330000"</f>
        <v>003114000330000</v>
      </c>
      <c r="G808">
        <v>29</v>
      </c>
      <c r="I808" t="str">
        <f t="shared" si="296"/>
        <v>次</v>
      </c>
      <c r="K808" t="str">
        <f>"EYHT(CO2)JGZL"</f>
        <v>EYHT(CO2)JGZL</v>
      </c>
      <c r="L808" t="str">
        <f>"FRWD(co2)IIIU"</f>
        <v>FRWD(co2)IIIU</v>
      </c>
      <c r="M808">
        <v>29</v>
      </c>
      <c r="N808">
        <v>311400033</v>
      </c>
      <c r="O808" t="str">
        <f>"每个 皮损"</f>
        <v>每个 皮损</v>
      </c>
      <c r="P808" t="str">
        <f t="shared" si="298"/>
        <v>治疗费</v>
      </c>
    </row>
    <row r="809" spans="1:16">
      <c r="A809" t="str">
        <f>"激光治疗腋臭"</f>
        <v>激光治疗腋臭</v>
      </c>
      <c r="B809">
        <v>311400038</v>
      </c>
      <c r="C809" t="str">
        <f t="shared" si="295"/>
        <v>其他</v>
      </c>
      <c r="D809" t="str">
        <f>"003114000380000"</f>
        <v>003114000380000</v>
      </c>
      <c r="G809">
        <v>104</v>
      </c>
      <c r="I809" t="str">
        <f>"单侧"</f>
        <v>单侧</v>
      </c>
      <c r="K809" t="str">
        <f>"JGZLYC"</f>
        <v>JGZLYC</v>
      </c>
      <c r="L809" t="str">
        <f>"IIIUET"</f>
        <v>IIIUET</v>
      </c>
      <c r="M809">
        <v>109</v>
      </c>
      <c r="N809">
        <v>311400038</v>
      </c>
      <c r="O809" t="str">
        <f>"单侧"</f>
        <v>单侧</v>
      </c>
      <c r="P809" t="str">
        <f t="shared" si="298"/>
        <v>治疗费</v>
      </c>
    </row>
    <row r="810" spans="1:16">
      <c r="A810" t="str">
        <f>"烧伤抢救(小)"</f>
        <v>烧伤抢救(小)</v>
      </c>
      <c r="B810">
        <v>311400042</v>
      </c>
      <c r="C810" t="str">
        <f t="shared" si="295"/>
        <v>其他</v>
      </c>
      <c r="D810" t="str">
        <f>"003114000420000"</f>
        <v>003114000420000</v>
      </c>
      <c r="G810">
        <v>390</v>
      </c>
      <c r="I810" t="str">
        <f t="shared" ref="I810:I813" si="299">"次"</f>
        <v>次</v>
      </c>
      <c r="K810" t="str">
        <f>"SSQJ(X)"</f>
        <v>SSQJ(X)</v>
      </c>
      <c r="L810" t="str">
        <f>"OWRF(I)"</f>
        <v>OWRF(I)</v>
      </c>
      <c r="M810">
        <v>430</v>
      </c>
      <c r="N810">
        <v>311400042</v>
      </c>
      <c r="O810" t="str">
        <f t="shared" si="297"/>
        <v>次</v>
      </c>
      <c r="P810" t="str">
        <f t="shared" si="298"/>
        <v>治疗费</v>
      </c>
    </row>
    <row r="811" spans="1:16">
      <c r="A811" t="str">
        <f>"烧伤冲洗清创术(大)"</f>
        <v>烧伤冲洗清创术(大)</v>
      </c>
      <c r="B811">
        <v>311400044</v>
      </c>
      <c r="C811" t="str">
        <f t="shared" si="295"/>
        <v>其他</v>
      </c>
      <c r="D811" t="str">
        <f>"003114000440000"</f>
        <v>003114000440000</v>
      </c>
      <c r="G811">
        <v>325</v>
      </c>
      <c r="I811" t="str">
        <f t="shared" si="299"/>
        <v>次</v>
      </c>
      <c r="K811" t="str">
        <f>"SSCXQCS(D)"</f>
        <v>SSCXQCS(D)</v>
      </c>
      <c r="L811" t="str">
        <f>"OWUIIWS(D)"</f>
        <v>OWUIIWS(D)</v>
      </c>
      <c r="M811">
        <v>370</v>
      </c>
      <c r="N811">
        <v>311400044</v>
      </c>
      <c r="O811" t="str">
        <f t="shared" si="297"/>
        <v>次</v>
      </c>
      <c r="P811" t="str">
        <f t="shared" ref="P811:P813" si="300">"手术费"</f>
        <v>手术费</v>
      </c>
    </row>
    <row r="812" spans="1:16">
      <c r="A812" t="str">
        <f>"烧伤冲洗清创术(中)"</f>
        <v>烧伤冲洗清创术(中)</v>
      </c>
      <c r="B812">
        <v>311400045</v>
      </c>
      <c r="C812" t="str">
        <f t="shared" si="295"/>
        <v>其他</v>
      </c>
      <c r="D812" t="str">
        <f>"003114000450000"</f>
        <v>003114000450000</v>
      </c>
      <c r="G812">
        <v>195</v>
      </c>
      <c r="I812" t="str">
        <f t="shared" si="299"/>
        <v>次</v>
      </c>
      <c r="K812" t="str">
        <f>"SSCXQCS(Z)"</f>
        <v>SSCXQCS(Z)</v>
      </c>
      <c r="L812" t="str">
        <f>"OWUIIWS(K)"</f>
        <v>OWUIIWS(K)</v>
      </c>
      <c r="M812">
        <v>225</v>
      </c>
      <c r="N812">
        <v>311400045</v>
      </c>
      <c r="O812" t="str">
        <f t="shared" si="297"/>
        <v>次</v>
      </c>
      <c r="P812" t="str">
        <f t="shared" si="300"/>
        <v>手术费</v>
      </c>
    </row>
    <row r="813" spans="1:16">
      <c r="A813" t="str">
        <f>"烧伤冲洗清创术(小)"</f>
        <v>烧伤冲洗清创术(小)</v>
      </c>
      <c r="B813">
        <v>311400046</v>
      </c>
      <c r="C813" t="str">
        <f t="shared" si="295"/>
        <v>其他</v>
      </c>
      <c r="D813" t="str">
        <f>"003114000460000"</f>
        <v>003114000460000</v>
      </c>
      <c r="G813">
        <v>130</v>
      </c>
      <c r="I813" t="str">
        <f t="shared" si="299"/>
        <v>次</v>
      </c>
      <c r="K813" t="str">
        <f>"SSCXQCS(X)"</f>
        <v>SSCXQCS(X)</v>
      </c>
      <c r="L813" t="str">
        <f>"OWUIIWS(I)"</f>
        <v>OWUIIWS(I)</v>
      </c>
      <c r="M813">
        <v>145</v>
      </c>
      <c r="N813">
        <v>311400046</v>
      </c>
      <c r="O813" t="str">
        <f t="shared" si="297"/>
        <v>次</v>
      </c>
      <c r="P813" t="str">
        <f t="shared" si="300"/>
        <v>手术费</v>
      </c>
    </row>
    <row r="814" spans="1:16">
      <c r="A814" t="str">
        <f>"烧伤换药"</f>
        <v>烧伤换药</v>
      </c>
      <c r="B814">
        <v>311400056</v>
      </c>
      <c r="C814" t="str">
        <f t="shared" si="295"/>
        <v>其他</v>
      </c>
      <c r="D814" t="str">
        <f>"003114000560000"</f>
        <v>003114000560000</v>
      </c>
      <c r="G814">
        <v>26</v>
      </c>
      <c r="I814" t="str">
        <f>"1%体表面"</f>
        <v>1%体表面</v>
      </c>
      <c r="K814" t="str">
        <f>"SSHY"</f>
        <v>SSHY</v>
      </c>
      <c r="L814" t="str">
        <f>"OWRA"</f>
        <v>OWRA</v>
      </c>
      <c r="M814">
        <v>28</v>
      </c>
      <c r="N814">
        <v>311400056</v>
      </c>
      <c r="O814" t="str">
        <f>"1%体表面"</f>
        <v>1%体表面</v>
      </c>
      <c r="P814" t="str">
        <f t="shared" ref="P814:P817" si="301">"治疗费"</f>
        <v>治疗费</v>
      </c>
    </row>
    <row r="815" spans="1:16">
      <c r="A815" t="str">
        <f>"3M透明敷料"</f>
        <v>3M透明敷料</v>
      </c>
      <c r="B815" t="str">
        <f>"311400056-2"</f>
        <v>311400056-2</v>
      </c>
      <c r="C815" t="str">
        <f>"材料"</f>
        <v>材料</v>
      </c>
      <c r="D815" t="str">
        <f>"C1701072160300004864"</f>
        <v>C1701072160300004864</v>
      </c>
      <c r="G815">
        <v>3.14</v>
      </c>
      <c r="I815" t="str">
        <f>"1624W6x7"</f>
        <v>1624W6x7</v>
      </c>
      <c r="K815" t="str">
        <f>"3MTMFL"</f>
        <v>3MTMFL</v>
      </c>
      <c r="L815" t="str">
        <f>"3MTJGO"</f>
        <v>3MTJGO</v>
      </c>
      <c r="M815">
        <v>4.1</v>
      </c>
      <c r="N815" t="str">
        <f>"311400056-2"</f>
        <v>311400056-2</v>
      </c>
      <c r="O815" t="str">
        <f>"片"</f>
        <v>片</v>
      </c>
      <c r="P815" t="str">
        <f>"材料费"</f>
        <v>材料费</v>
      </c>
    </row>
    <row r="816" spans="1:16">
      <c r="A816" t="str">
        <f>"皮下组织穿刺术"</f>
        <v>皮下组织穿刺术</v>
      </c>
      <c r="B816">
        <v>311400057</v>
      </c>
      <c r="C816" t="str">
        <f>"其他"</f>
        <v>其他</v>
      </c>
      <c r="D816" t="str">
        <f>"003114000570000"</f>
        <v>003114000570000</v>
      </c>
      <c r="G816">
        <v>130</v>
      </c>
      <c r="I816" t="str">
        <f t="shared" ref="I816:I820" si="302">"次"</f>
        <v>次</v>
      </c>
      <c r="K816" t="str">
        <f>"PXZZCCS"</f>
        <v>PXZZCCS</v>
      </c>
      <c r="L816" t="str">
        <f>"HGXXPGS"</f>
        <v>HGXXPGS</v>
      </c>
      <c r="M816">
        <v>142</v>
      </c>
      <c r="N816">
        <v>311400057</v>
      </c>
      <c r="O816" t="str">
        <f t="shared" ref="O816:O820" si="303">"次"</f>
        <v>次</v>
      </c>
      <c r="P816" t="str">
        <f t="shared" si="301"/>
        <v>治疗费</v>
      </c>
    </row>
    <row r="817" spans="1:16">
      <c r="A817" t="str">
        <f>"瘢痕注射治疗"</f>
        <v>瘢痕注射治疗</v>
      </c>
      <c r="B817">
        <v>311400063</v>
      </c>
      <c r="C817" t="str">
        <f>"治疗"</f>
        <v>治疗</v>
      </c>
      <c r="G817">
        <v>22</v>
      </c>
      <c r="I817" t="str">
        <f>"项"</f>
        <v>项</v>
      </c>
      <c r="K817" t="str">
        <f>"HZSZL"</f>
        <v>HZSZL</v>
      </c>
      <c r="L817" t="str">
        <f>"UUITIU"</f>
        <v>UUITIU</v>
      </c>
      <c r="M817">
        <v>22</v>
      </c>
      <c r="O817" t="str">
        <f>"ml"</f>
        <v>ml</v>
      </c>
      <c r="P817" t="str">
        <f t="shared" si="301"/>
        <v>治疗费</v>
      </c>
    </row>
    <row r="818" spans="1:16">
      <c r="A818" t="str">
        <f>"艾森克人格测定（少年版）"</f>
        <v>艾森克人格测定（少年版）</v>
      </c>
      <c r="B818" t="str">
        <f>"311501002-9"</f>
        <v>311501002-9</v>
      </c>
      <c r="C818" t="str">
        <f>"检查"</f>
        <v>检查</v>
      </c>
      <c r="G818">
        <v>57</v>
      </c>
      <c r="I818" t="str">
        <f t="shared" si="302"/>
        <v>次</v>
      </c>
      <c r="K818" t="str">
        <f>"ASKRGCDSNB"</f>
        <v>ASKRGCDSNB</v>
      </c>
      <c r="L818" t="str">
        <f>"ASDWSIPIRT"</f>
        <v>ASDWSIPIRT</v>
      </c>
      <c r="M818">
        <v>57</v>
      </c>
      <c r="O818" t="str">
        <f t="shared" si="303"/>
        <v>次</v>
      </c>
      <c r="P818" t="str">
        <f>"检查费"</f>
        <v>检查费</v>
      </c>
    </row>
    <row r="819" spans="1:16">
      <c r="A819" t="str">
        <f>"艾森克情绪稳定性测验"</f>
        <v>艾森克情绪稳定性测验</v>
      </c>
      <c r="B819" t="str">
        <f>"311501003-10"</f>
        <v>311501003-10</v>
      </c>
      <c r="C819" t="str">
        <f>"检查"</f>
        <v>检查</v>
      </c>
      <c r="G819">
        <v>75</v>
      </c>
      <c r="I819" t="str">
        <f t="shared" si="302"/>
        <v>次</v>
      </c>
      <c r="K819" t="str">
        <f>"ASKQXWDXCY"</f>
        <v>ASKQXWDXCY</v>
      </c>
      <c r="L819" t="str">
        <f>"ASDNXTPNIC"</f>
        <v>ASDNXTPNIC</v>
      </c>
      <c r="M819">
        <v>75</v>
      </c>
      <c r="O819" t="str">
        <f t="shared" si="303"/>
        <v>次</v>
      </c>
      <c r="P819" t="str">
        <f>"检查费"</f>
        <v>检查费</v>
      </c>
    </row>
    <row r="820" spans="1:16">
      <c r="A820" t="str">
        <f>"音乐治疗"</f>
        <v>音乐治疗</v>
      </c>
      <c r="B820">
        <v>311503018</v>
      </c>
      <c r="C820" t="str">
        <f>"其他"</f>
        <v>其他</v>
      </c>
      <c r="G820">
        <v>14</v>
      </c>
      <c r="I820" t="str">
        <f t="shared" si="302"/>
        <v>次</v>
      </c>
      <c r="K820" t="str">
        <f>"YYZL"</f>
        <v>YYZL</v>
      </c>
      <c r="L820" t="str">
        <f>"UQIU"</f>
        <v>UQIU</v>
      </c>
      <c r="M820">
        <v>14</v>
      </c>
      <c r="N820">
        <v>311503018</v>
      </c>
      <c r="O820" t="str">
        <f t="shared" si="303"/>
        <v>次</v>
      </c>
      <c r="P820" t="str">
        <f>"治疗费"</f>
        <v>治疗费</v>
      </c>
    </row>
    <row r="821" spans="1:16">
      <c r="A821" t="str">
        <f>"心理咨询"</f>
        <v>心理咨询</v>
      </c>
      <c r="B821">
        <v>311503023</v>
      </c>
      <c r="C821" t="str">
        <f>"治疗"</f>
        <v>治疗</v>
      </c>
      <c r="G821">
        <v>25</v>
      </c>
      <c r="I821" t="str">
        <f>"项"</f>
        <v>项</v>
      </c>
      <c r="K821" t="str">
        <f>"XLZX"</f>
        <v>XLZX</v>
      </c>
      <c r="L821" t="str">
        <f>"NGUY"</f>
        <v>NGUY</v>
      </c>
      <c r="M821">
        <v>25</v>
      </c>
      <c r="N821">
        <v>311503023</v>
      </c>
      <c r="O821" t="str">
        <f>"项"</f>
        <v>项</v>
      </c>
      <c r="P821" t="str">
        <f>"诊查费"</f>
        <v>诊查费</v>
      </c>
    </row>
    <row r="822" spans="1:16">
      <c r="A822" t="str">
        <f>"吸收性明胶海绵"</f>
        <v>吸收性明胶海绵</v>
      </c>
      <c r="B822" t="str">
        <f>"33-38-1"</f>
        <v>33-38-1</v>
      </c>
      <c r="C822" t="str">
        <f>"材料"</f>
        <v>材料</v>
      </c>
      <c r="G822">
        <v>8</v>
      </c>
      <c r="I822" t="str">
        <f>"60mm*20mm*5mm"</f>
        <v>60mm*20mm*5mm</v>
      </c>
      <c r="K822" t="str">
        <f>"XSXMJHM"</f>
        <v>XSXMJHM</v>
      </c>
      <c r="L822" t="str">
        <f>"KNNJEIX"</f>
        <v>KNNJEIX</v>
      </c>
      <c r="M822">
        <v>8</v>
      </c>
      <c r="O822" t="str">
        <f>"片"</f>
        <v>片</v>
      </c>
      <c r="P822" t="str">
        <f>"材料费"</f>
        <v>材料费</v>
      </c>
    </row>
    <row r="823" spans="1:16">
      <c r="A823" t="str">
        <f>"蚕丝编织线带针"</f>
        <v>蚕丝编织线带针</v>
      </c>
      <c r="B823" t="str">
        <f>"33-7-16"</f>
        <v>33-7-16</v>
      </c>
      <c r="C823" t="str">
        <f>"材料"</f>
        <v>材料</v>
      </c>
      <c r="G823">
        <v>12.5</v>
      </c>
      <c r="I823" t="str">
        <f>"项"</f>
        <v>项</v>
      </c>
      <c r="K823" t="str">
        <f>"CSBZXDZ"</f>
        <v>CSBZXDZ</v>
      </c>
      <c r="L823" t="str">
        <f>"GXXXXGQ"</f>
        <v>GXXXXGQ</v>
      </c>
      <c r="M823">
        <v>12.5</v>
      </c>
      <c r="O823" t="str">
        <f>"根"</f>
        <v>根</v>
      </c>
      <c r="P823" t="str">
        <f>"材料费"</f>
        <v>材料费</v>
      </c>
    </row>
    <row r="824" spans="1:16">
      <c r="A824" t="str">
        <f>"神经阻滞麻醉"</f>
        <v>神经阻滞麻醉</v>
      </c>
      <c r="B824">
        <v>330100002</v>
      </c>
      <c r="C824" t="str">
        <f t="shared" ref="C824:C832" si="304">"其他"</f>
        <v>其他</v>
      </c>
      <c r="D824" t="str">
        <f>"003301000020000"</f>
        <v>003301000020000</v>
      </c>
      <c r="G824">
        <v>89</v>
      </c>
      <c r="I824" t="str">
        <f t="shared" ref="I824:I826" si="305">"次"</f>
        <v>次</v>
      </c>
      <c r="K824" t="str">
        <f>"SJZZMZ"</f>
        <v>SJZZMZ</v>
      </c>
      <c r="L824" t="str">
        <f>"PXBIYS"</f>
        <v>PXBIYS</v>
      </c>
      <c r="M824">
        <v>124</v>
      </c>
      <c r="N824">
        <v>330100002</v>
      </c>
      <c r="O824" t="str">
        <f t="shared" ref="O824:O826" si="306">"次"</f>
        <v>次</v>
      </c>
      <c r="P824" t="str">
        <f>"麻醉费"</f>
        <v>麻醉费</v>
      </c>
    </row>
    <row r="825" spans="1:16">
      <c r="A825" t="str">
        <f>"神经阻滞麻醉口腔门诊"</f>
        <v>神经阻滞麻醉口腔门诊</v>
      </c>
      <c r="B825" t="str">
        <f>"330100002-a"</f>
        <v>330100002-a</v>
      </c>
      <c r="C825" t="str">
        <f>"治疗"</f>
        <v>治疗</v>
      </c>
      <c r="D825" t="str">
        <f>"003301000020000"</f>
        <v>003301000020000</v>
      </c>
      <c r="G825">
        <v>36</v>
      </c>
      <c r="I825" t="str">
        <f t="shared" si="305"/>
        <v>次</v>
      </c>
      <c r="K825" t="str">
        <f>"SJZZMZKQMZ"</f>
        <v>SJZZMZKQMZ</v>
      </c>
      <c r="L825" t="str">
        <f>"PXBIYSKEUY"</f>
        <v>PXBIYSKEUY</v>
      </c>
      <c r="M825">
        <v>36</v>
      </c>
      <c r="N825" t="str">
        <f>"330100002-a"</f>
        <v>330100002-a</v>
      </c>
      <c r="O825" t="str">
        <f t="shared" si="306"/>
        <v>次</v>
      </c>
      <c r="P825" t="str">
        <f>"治疗费"</f>
        <v>治疗费</v>
      </c>
    </row>
    <row r="826" spans="1:16">
      <c r="A826" t="str">
        <f>"基础麻醉"</f>
        <v>基础麻醉</v>
      </c>
      <c r="B826">
        <v>330100004</v>
      </c>
      <c r="C826" t="str">
        <f t="shared" si="304"/>
        <v>其他</v>
      </c>
      <c r="D826" t="str">
        <f>"003301000040000"</f>
        <v>003301000040000</v>
      </c>
      <c r="G826">
        <v>89</v>
      </c>
      <c r="I826" t="str">
        <f t="shared" si="305"/>
        <v>次</v>
      </c>
      <c r="K826" t="str">
        <f>"JCMZ"</f>
        <v>JCMZ</v>
      </c>
      <c r="L826" t="str">
        <f>"ADYS"</f>
        <v>ADYS</v>
      </c>
      <c r="M826">
        <v>89</v>
      </c>
      <c r="N826">
        <v>330100004</v>
      </c>
      <c r="O826" t="str">
        <f t="shared" si="306"/>
        <v>次</v>
      </c>
      <c r="P826" t="str">
        <f t="shared" ref="P826:P831" si="307">"麻醉费"</f>
        <v>麻醉费</v>
      </c>
    </row>
    <row r="827" spans="1:16">
      <c r="A827" t="str">
        <f>"术后镇痛"</f>
        <v>术后镇痛</v>
      </c>
      <c r="B827">
        <v>330100008</v>
      </c>
      <c r="C827" t="str">
        <f>"手术"</f>
        <v>手术</v>
      </c>
      <c r="D827" t="str">
        <f>"003301000080000"</f>
        <v>003301000080000</v>
      </c>
      <c r="G827">
        <v>60</v>
      </c>
      <c r="I827" t="str">
        <f>"天"</f>
        <v>天</v>
      </c>
      <c r="K827" t="str">
        <f>"SHZT"</f>
        <v>SHZT</v>
      </c>
      <c r="L827" t="str">
        <f>"SRQU"</f>
        <v>SRQU</v>
      </c>
      <c r="M827">
        <v>60</v>
      </c>
      <c r="N827">
        <v>330100008</v>
      </c>
      <c r="O827" t="str">
        <f>"天"</f>
        <v>天</v>
      </c>
      <c r="P827" t="str">
        <f>"手术费"</f>
        <v>手术费</v>
      </c>
    </row>
    <row r="828" spans="1:16">
      <c r="A828" t="str">
        <f>"心肺复苏术"</f>
        <v>心肺复苏术</v>
      </c>
      <c r="B828">
        <v>330100012</v>
      </c>
      <c r="C828" t="str">
        <f t="shared" si="304"/>
        <v>其他</v>
      </c>
      <c r="D828" t="str">
        <f>"003301000120000"</f>
        <v>003301000120000</v>
      </c>
      <c r="G828">
        <v>149</v>
      </c>
      <c r="I828" t="str">
        <f t="shared" ref="I828:I830" si="308">"次"</f>
        <v>次</v>
      </c>
      <c r="K828" t="str">
        <f>"XFFSS"</f>
        <v>XFFSS</v>
      </c>
      <c r="L828" t="str">
        <f>"NETAS"</f>
        <v>NETAS</v>
      </c>
      <c r="M828">
        <v>149</v>
      </c>
      <c r="N828">
        <v>330100012</v>
      </c>
      <c r="O828" t="str">
        <f t="shared" ref="O828:O830" si="309">"次"</f>
        <v>次</v>
      </c>
      <c r="P828" t="str">
        <f>"治疗费"</f>
        <v>治疗费</v>
      </c>
    </row>
    <row r="829" spans="1:16">
      <c r="A829" t="str">
        <f>"气管插管术"</f>
        <v>气管插管术</v>
      </c>
      <c r="B829">
        <v>330100013</v>
      </c>
      <c r="C829" t="str">
        <f t="shared" si="304"/>
        <v>其他</v>
      </c>
      <c r="D829" t="str">
        <f>"003301000130000"</f>
        <v>003301000130000</v>
      </c>
      <c r="G829">
        <v>60</v>
      </c>
      <c r="I829" t="str">
        <f t="shared" si="308"/>
        <v>次</v>
      </c>
      <c r="K829" t="str">
        <f>"QGCGS"</f>
        <v>QGCGS</v>
      </c>
      <c r="L829" t="str">
        <f>"RTRTS"</f>
        <v>RTRTS</v>
      </c>
      <c r="M829">
        <v>60</v>
      </c>
      <c r="N829">
        <v>330100013</v>
      </c>
      <c r="O829" t="str">
        <f t="shared" si="309"/>
        <v>次</v>
      </c>
      <c r="P829" t="str">
        <f>"手术治疗费"</f>
        <v>手术治疗费</v>
      </c>
    </row>
    <row r="830" spans="1:16">
      <c r="A830" t="str">
        <f>"特殊方法气管插管术"</f>
        <v>特殊方法气管插管术</v>
      </c>
      <c r="B830">
        <v>330100014</v>
      </c>
      <c r="C830" t="str">
        <f t="shared" si="304"/>
        <v>其他</v>
      </c>
      <c r="D830" t="str">
        <f>"003301000140000"</f>
        <v>003301000140000</v>
      </c>
      <c r="G830">
        <v>97</v>
      </c>
      <c r="I830" t="str">
        <f t="shared" si="308"/>
        <v>次</v>
      </c>
      <c r="K830" t="str">
        <f>"TSFFQGCGS"</f>
        <v>TSFFQGCGS</v>
      </c>
      <c r="L830" t="str">
        <f>"TGYIRTRTS"</f>
        <v>TGYIRTRTS</v>
      </c>
      <c r="M830">
        <v>144</v>
      </c>
      <c r="N830">
        <v>330100014</v>
      </c>
      <c r="O830" t="str">
        <f t="shared" si="309"/>
        <v>次</v>
      </c>
      <c r="P830" t="str">
        <f t="shared" si="307"/>
        <v>麻醉费</v>
      </c>
    </row>
    <row r="831" spans="1:16">
      <c r="A831" t="str">
        <f>"麻醉中监测"</f>
        <v>麻醉中监测</v>
      </c>
      <c r="B831">
        <v>330100015</v>
      </c>
      <c r="C831" t="str">
        <f t="shared" si="304"/>
        <v>其他</v>
      </c>
      <c r="D831" t="str">
        <f>"003301000150000"</f>
        <v>003301000150000</v>
      </c>
      <c r="G831">
        <v>60</v>
      </c>
      <c r="I831" t="str">
        <f>"小时"</f>
        <v>小时</v>
      </c>
      <c r="K831" t="str">
        <f>"MZZJC"</f>
        <v>MZZJC</v>
      </c>
      <c r="L831" t="str">
        <f>"YSKJI"</f>
        <v>YSKJI</v>
      </c>
      <c r="M831">
        <v>60</v>
      </c>
      <c r="N831">
        <v>330100015</v>
      </c>
      <c r="O831" t="str">
        <f>"小时"</f>
        <v>小时</v>
      </c>
      <c r="P831" t="str">
        <f t="shared" si="307"/>
        <v>麻醉费</v>
      </c>
    </row>
    <row r="832" spans="1:16">
      <c r="A832" t="str">
        <f>"麻醉中检测（氧浓度）"</f>
        <v>麻醉中检测（氧浓度）</v>
      </c>
      <c r="B832" t="str">
        <f>"330100015-a"</f>
        <v>330100015-a</v>
      </c>
      <c r="C832" t="str">
        <f t="shared" si="304"/>
        <v>其他</v>
      </c>
      <c r="D832" t="str">
        <f>"003301000150000"</f>
        <v>003301000150000</v>
      </c>
      <c r="G832">
        <v>3.24</v>
      </c>
      <c r="I832" t="str">
        <f>"小时"</f>
        <v>小时</v>
      </c>
      <c r="K832" t="str">
        <f>"MZZJC（YND）"</f>
        <v>MZZJC（YND）</v>
      </c>
      <c r="L832" t="str">
        <f>"YSKSIRIY"</f>
        <v>YSKSIRIY</v>
      </c>
      <c r="M832">
        <v>3.24</v>
      </c>
      <c r="N832" t="str">
        <f>"330100015-a"</f>
        <v>330100015-a</v>
      </c>
      <c r="O832" t="str">
        <f>"小时"</f>
        <v>小时</v>
      </c>
      <c r="P832" t="str">
        <f>"手术治疗费"</f>
        <v>手术治疗费</v>
      </c>
    </row>
    <row r="833" spans="1:16">
      <c r="A833" t="str">
        <f>"面神经简单修复术"</f>
        <v>面神经简单修复术</v>
      </c>
      <c r="B833">
        <v>330202008</v>
      </c>
      <c r="C833" t="str">
        <f t="shared" ref="C833:C840" si="310">"手术"</f>
        <v>手术</v>
      </c>
      <c r="D833" t="str">
        <f>"003302020080000"</f>
        <v>003302020080000</v>
      </c>
      <c r="G833">
        <v>864</v>
      </c>
      <c r="I833" t="str">
        <f t="shared" ref="I833:I842" si="311">"次"</f>
        <v>次</v>
      </c>
      <c r="K833" t="str">
        <f>"MSJJDXFS"</f>
        <v>MSJJDXFS</v>
      </c>
      <c r="L833" t="str">
        <f>"DPXTUWTS"</f>
        <v>DPXTUWTS</v>
      </c>
      <c r="M833">
        <v>1069</v>
      </c>
      <c r="N833">
        <v>330202008</v>
      </c>
      <c r="O833" t="str">
        <f t="shared" ref="O833:O842" si="312">"次"</f>
        <v>次</v>
      </c>
      <c r="P833" t="str">
        <f t="shared" ref="P833:P849" si="313">"手术费"</f>
        <v>手术费</v>
      </c>
    </row>
    <row r="834" spans="1:16">
      <c r="A834" t="str">
        <f>"眼睑肿物切除术"</f>
        <v>眼睑肿物切除术</v>
      </c>
      <c r="B834">
        <v>330401001</v>
      </c>
      <c r="C834" t="str">
        <f t="shared" si="310"/>
        <v>手术</v>
      </c>
      <c r="D834" t="str">
        <f>"003304010010000"</f>
        <v>003304010010000</v>
      </c>
      <c r="G834">
        <v>130</v>
      </c>
      <c r="I834" t="str">
        <f t="shared" si="311"/>
        <v>次</v>
      </c>
      <c r="K834" t="str">
        <f>"YJZWQCS"</f>
        <v>YJZWQCS</v>
      </c>
      <c r="L834" t="str">
        <f>"HHETABS"</f>
        <v>HHETABS</v>
      </c>
      <c r="M834">
        <v>130</v>
      </c>
      <c r="N834">
        <v>330401001</v>
      </c>
      <c r="O834" t="str">
        <f t="shared" si="312"/>
        <v>次</v>
      </c>
      <c r="P834" t="str">
        <f t="shared" si="313"/>
        <v>手术费</v>
      </c>
    </row>
    <row r="835" spans="1:16">
      <c r="A835" t="str">
        <f>"结膜肿物切除术"</f>
        <v>结膜肿物切除术</v>
      </c>
      <c r="B835">
        <v>330403002</v>
      </c>
      <c r="C835" t="str">
        <f>"其他"</f>
        <v>其他</v>
      </c>
      <c r="D835" t="str">
        <f>"003304030020000"</f>
        <v>003304030020000</v>
      </c>
      <c r="G835">
        <v>225</v>
      </c>
      <c r="I835">
        <v>1</v>
      </c>
      <c r="K835" t="str">
        <f>"JMZWQCS"</f>
        <v>JMZWQCS</v>
      </c>
      <c r="L835" t="str">
        <f>"XEETABS"</f>
        <v>XEETABS</v>
      </c>
      <c r="M835">
        <v>225</v>
      </c>
      <c r="N835">
        <v>330403002</v>
      </c>
      <c r="O835" t="str">
        <f>"每次"</f>
        <v>每次</v>
      </c>
      <c r="P835" t="str">
        <f>"手术治疗费"</f>
        <v>手术治疗费</v>
      </c>
    </row>
    <row r="836" spans="1:16">
      <c r="A836" t="str">
        <f>"麦粒肿切除术"</f>
        <v>麦粒肿切除术</v>
      </c>
      <c r="B836">
        <v>330403006</v>
      </c>
      <c r="C836" t="str">
        <f t="shared" si="310"/>
        <v>手术</v>
      </c>
      <c r="D836" t="str">
        <f>"003304030060000"</f>
        <v>003304030060000</v>
      </c>
      <c r="G836">
        <v>65</v>
      </c>
      <c r="I836" t="str">
        <f t="shared" si="311"/>
        <v>次</v>
      </c>
      <c r="K836" t="str">
        <f>"MLZQCS"</f>
        <v>MLZQCS</v>
      </c>
      <c r="L836" t="str">
        <f>"GOEABS"</f>
        <v>GOEABS</v>
      </c>
      <c r="M836">
        <v>65</v>
      </c>
      <c r="N836">
        <v>330403006</v>
      </c>
      <c r="O836" t="str">
        <f t="shared" si="312"/>
        <v>次</v>
      </c>
      <c r="P836" t="str">
        <f t="shared" si="313"/>
        <v>手术费</v>
      </c>
    </row>
    <row r="837" spans="1:16">
      <c r="A837" t="str">
        <f>"眶内异物取出术"</f>
        <v>眶内异物取出术</v>
      </c>
      <c r="B837">
        <v>330409004</v>
      </c>
      <c r="C837" t="str">
        <f t="shared" si="310"/>
        <v>手术</v>
      </c>
      <c r="D837" t="str">
        <f>"003304090040000"</f>
        <v>003304090040000</v>
      </c>
      <c r="G837">
        <v>486</v>
      </c>
      <c r="I837" t="str">
        <f t="shared" si="311"/>
        <v>次</v>
      </c>
      <c r="K837" t="str">
        <f>"KNYWQCS"</f>
        <v>KNYWQCS</v>
      </c>
      <c r="L837" t="str">
        <f>"HMNTBBS"</f>
        <v>HMNTBBS</v>
      </c>
      <c r="M837">
        <v>486</v>
      </c>
      <c r="N837">
        <v>330409004</v>
      </c>
      <c r="O837" t="str">
        <f t="shared" si="312"/>
        <v>次</v>
      </c>
      <c r="P837" t="str">
        <f t="shared" si="313"/>
        <v>手术费</v>
      </c>
    </row>
    <row r="838" spans="1:16">
      <c r="A838" t="str">
        <f>"耳廓软骨膜炎清创术"</f>
        <v>耳廓软骨膜炎清创术</v>
      </c>
      <c r="B838">
        <v>330501001</v>
      </c>
      <c r="C838" t="str">
        <f t="shared" si="310"/>
        <v>手术</v>
      </c>
      <c r="D838" t="str">
        <f>"003305010010000"</f>
        <v>003305010010000</v>
      </c>
      <c r="G838">
        <v>162</v>
      </c>
      <c r="I838" t="str">
        <f t="shared" si="311"/>
        <v>次</v>
      </c>
      <c r="K838" t="str">
        <f>"EKRGMYQCS"</f>
        <v>EKRGMYQCS</v>
      </c>
      <c r="L838" t="str">
        <f>"BYLMEOIWS"</f>
        <v>BYLMEOIWS</v>
      </c>
      <c r="M838">
        <v>162</v>
      </c>
      <c r="N838">
        <v>330501001</v>
      </c>
      <c r="O838" t="str">
        <f t="shared" si="312"/>
        <v>次</v>
      </c>
      <c r="P838" t="str">
        <f t="shared" si="313"/>
        <v>手术费</v>
      </c>
    </row>
    <row r="839" spans="1:16">
      <c r="A839" t="str">
        <f>"耳道异物取出术"</f>
        <v>耳道异物取出术</v>
      </c>
      <c r="B839">
        <v>330501002</v>
      </c>
      <c r="C839" t="str">
        <f t="shared" si="310"/>
        <v>手术</v>
      </c>
      <c r="D839" t="str">
        <f>"003305010020000"</f>
        <v>003305010020000</v>
      </c>
      <c r="G839">
        <v>87</v>
      </c>
      <c r="I839" t="str">
        <f t="shared" si="311"/>
        <v>次</v>
      </c>
      <c r="K839" t="str">
        <f>"EDYWQCS"</f>
        <v>EDYWQCS</v>
      </c>
      <c r="L839" t="str">
        <f>"BUNTBBS"</f>
        <v>BUNTBBS</v>
      </c>
      <c r="M839">
        <v>87</v>
      </c>
      <c r="N839">
        <v>330501002</v>
      </c>
      <c r="O839" t="str">
        <f t="shared" si="312"/>
        <v>次</v>
      </c>
      <c r="P839" t="str">
        <f t="shared" si="313"/>
        <v>手术费</v>
      </c>
    </row>
    <row r="840" spans="1:16">
      <c r="A840" t="str">
        <f>"外耳道疖脓肿切开引流术"</f>
        <v>外耳道疖脓肿切开引流术</v>
      </c>
      <c r="B840">
        <v>330501012</v>
      </c>
      <c r="C840" t="str">
        <f t="shared" si="310"/>
        <v>手术</v>
      </c>
      <c r="D840" t="str">
        <f>"003305010120000"</f>
        <v>003305010120000</v>
      </c>
      <c r="G840">
        <v>54</v>
      </c>
      <c r="I840" t="str">
        <f t="shared" si="311"/>
        <v>次</v>
      </c>
      <c r="K840" t="str">
        <f>"WEDJNZQKYLS"</f>
        <v>WEDJNZQKYLS</v>
      </c>
      <c r="L840" t="str">
        <f>"QBUUEEAGXIS"</f>
        <v>QBUUEEAGXIS</v>
      </c>
      <c r="M840">
        <v>54</v>
      </c>
      <c r="N840">
        <v>330501012</v>
      </c>
      <c r="O840" t="str">
        <f t="shared" si="312"/>
        <v>次</v>
      </c>
      <c r="P840" t="str">
        <f t="shared" si="313"/>
        <v>手术费</v>
      </c>
    </row>
    <row r="841" spans="1:16">
      <c r="A841" t="str">
        <f>"鼻腔异物取出术"</f>
        <v>鼻腔异物取出术</v>
      </c>
      <c r="B841">
        <v>330601007</v>
      </c>
      <c r="C841" t="str">
        <f>"其他"</f>
        <v>其他</v>
      </c>
      <c r="D841" t="str">
        <f>"003306010070000"</f>
        <v>003306010070000</v>
      </c>
      <c r="G841">
        <v>54</v>
      </c>
      <c r="I841" t="str">
        <f t="shared" si="311"/>
        <v>次</v>
      </c>
      <c r="K841" t="str">
        <f>"BQYWQCS"</f>
        <v>BQYWQCS</v>
      </c>
      <c r="L841" t="str">
        <f>"TENTBBS"</f>
        <v>TENTBBS</v>
      </c>
      <c r="M841">
        <v>54</v>
      </c>
      <c r="N841">
        <v>330601007</v>
      </c>
      <c r="O841" t="str">
        <f t="shared" si="312"/>
        <v>次</v>
      </c>
      <c r="P841" t="str">
        <f t="shared" si="313"/>
        <v>手术费</v>
      </c>
    </row>
    <row r="842" spans="1:16">
      <c r="A842" t="str">
        <f>"鼻中隔血肿切开引流术"</f>
        <v>鼻中隔血肿切开引流术</v>
      </c>
      <c r="B842">
        <v>330601017</v>
      </c>
      <c r="C842" t="str">
        <f t="shared" ref="C842:C848" si="314">"手术"</f>
        <v>手术</v>
      </c>
      <c r="D842" t="str">
        <f>"003306010170000"</f>
        <v>003306010170000</v>
      </c>
      <c r="G842">
        <v>216</v>
      </c>
      <c r="I842" t="str">
        <f t="shared" si="311"/>
        <v>次</v>
      </c>
      <c r="K842" t="str">
        <f>"BZGXZQKYLS"</f>
        <v>BZGXZQKYLS</v>
      </c>
      <c r="L842" t="str">
        <f>"TKBTEAGXIS"</f>
        <v>TKBTEAGXIS</v>
      </c>
      <c r="M842">
        <v>216</v>
      </c>
      <c r="N842">
        <v>330601017</v>
      </c>
      <c r="O842" t="str">
        <f t="shared" si="312"/>
        <v>次</v>
      </c>
      <c r="P842" t="str">
        <f t="shared" si="313"/>
        <v>手术费</v>
      </c>
    </row>
    <row r="843" spans="1:16">
      <c r="A843" t="str">
        <f>"乳牙拔除术"</f>
        <v>乳牙拔除术</v>
      </c>
      <c r="B843">
        <v>330604001</v>
      </c>
      <c r="C843" t="str">
        <f t="shared" si="314"/>
        <v>手术</v>
      </c>
      <c r="D843" t="str">
        <f>"003306040010000"</f>
        <v>003306040010000</v>
      </c>
      <c r="G843">
        <v>7.7</v>
      </c>
      <c r="I843" t="str">
        <f t="shared" ref="I843:I849" si="315">"每牙"</f>
        <v>每牙</v>
      </c>
      <c r="K843" t="str">
        <f>"RYBCS"</f>
        <v>RYBCS</v>
      </c>
      <c r="L843" t="str">
        <f>"EARBS"</f>
        <v>EARBS</v>
      </c>
      <c r="M843">
        <v>7.7</v>
      </c>
      <c r="N843">
        <v>330604001</v>
      </c>
      <c r="O843" t="str">
        <f t="shared" ref="O843:O854" si="316">"每牙"</f>
        <v>每牙</v>
      </c>
      <c r="P843" t="str">
        <f t="shared" si="313"/>
        <v>手术费</v>
      </c>
    </row>
    <row r="844" spans="1:16">
      <c r="A844" t="str">
        <f>"前牙拔除术"</f>
        <v>前牙拔除术</v>
      </c>
      <c r="B844">
        <v>330604002</v>
      </c>
      <c r="C844" t="str">
        <f t="shared" si="314"/>
        <v>手术</v>
      </c>
      <c r="D844" t="str">
        <f>"003306040020000"</f>
        <v>003306040020000</v>
      </c>
      <c r="G844">
        <v>16</v>
      </c>
      <c r="I844" t="str">
        <f t="shared" si="315"/>
        <v>每牙</v>
      </c>
      <c r="K844" t="str">
        <f>"QYBCS"</f>
        <v>QYBCS</v>
      </c>
      <c r="L844" t="str">
        <f>"UARBS"</f>
        <v>UARBS</v>
      </c>
      <c r="M844">
        <v>16</v>
      </c>
      <c r="N844">
        <v>330604002</v>
      </c>
      <c r="O844" t="str">
        <f t="shared" si="316"/>
        <v>每牙</v>
      </c>
      <c r="P844" t="str">
        <f t="shared" si="313"/>
        <v>手术费</v>
      </c>
    </row>
    <row r="845" spans="1:16">
      <c r="A845" t="str">
        <f>"前磨牙拔除术"</f>
        <v>前磨牙拔除术</v>
      </c>
      <c r="B845">
        <v>330604003</v>
      </c>
      <c r="C845" t="str">
        <f t="shared" si="314"/>
        <v>手术</v>
      </c>
      <c r="D845" t="str">
        <f>"003306040030000"</f>
        <v>003306040030000</v>
      </c>
      <c r="G845">
        <v>22</v>
      </c>
      <c r="I845" t="str">
        <f t="shared" si="315"/>
        <v>每牙</v>
      </c>
      <c r="K845" t="str">
        <f>"QMYBCS"</f>
        <v>QMYBCS</v>
      </c>
      <c r="L845" t="str">
        <f>"UYARBS"</f>
        <v>UYARBS</v>
      </c>
      <c r="M845">
        <v>22</v>
      </c>
      <c r="N845">
        <v>330604003</v>
      </c>
      <c r="O845" t="str">
        <f t="shared" si="316"/>
        <v>每牙</v>
      </c>
      <c r="P845" t="str">
        <f t="shared" si="313"/>
        <v>手术费</v>
      </c>
    </row>
    <row r="846" spans="1:16">
      <c r="A846" t="str">
        <f>"磨牙拔除术"</f>
        <v>磨牙拔除术</v>
      </c>
      <c r="B846">
        <v>330604004</v>
      </c>
      <c r="C846" t="str">
        <f t="shared" si="314"/>
        <v>手术</v>
      </c>
      <c r="D846" t="str">
        <f>"003306040040000"</f>
        <v>003306040040000</v>
      </c>
      <c r="G846">
        <v>27</v>
      </c>
      <c r="I846" t="str">
        <f t="shared" si="315"/>
        <v>每牙</v>
      </c>
      <c r="K846" t="str">
        <f>"MYBCS"</f>
        <v>MYBCS</v>
      </c>
      <c r="L846" t="str">
        <f>"YARBS"</f>
        <v>YARBS</v>
      </c>
      <c r="M846">
        <v>27</v>
      </c>
      <c r="N846">
        <v>330604004</v>
      </c>
      <c r="O846" t="str">
        <f t="shared" si="316"/>
        <v>每牙</v>
      </c>
      <c r="P846" t="str">
        <f t="shared" si="313"/>
        <v>手术费</v>
      </c>
    </row>
    <row r="847" spans="1:16">
      <c r="A847" t="str">
        <f>"复杂牙拔除术"</f>
        <v>复杂牙拔除术</v>
      </c>
      <c r="B847">
        <v>330604005</v>
      </c>
      <c r="C847" t="str">
        <f t="shared" si="314"/>
        <v>手术</v>
      </c>
      <c r="D847" t="str">
        <f>"003306040050000"</f>
        <v>003306040050000</v>
      </c>
      <c r="G847">
        <v>50</v>
      </c>
      <c r="I847" t="str">
        <f t="shared" si="315"/>
        <v>每牙</v>
      </c>
      <c r="K847" t="str">
        <f>"FZYBCS"</f>
        <v>FZYBCS</v>
      </c>
      <c r="L847" t="str">
        <f>"TVARBS"</f>
        <v>TVARBS</v>
      </c>
      <c r="M847">
        <v>50</v>
      </c>
      <c r="N847">
        <v>330604005</v>
      </c>
      <c r="O847" t="str">
        <f t="shared" si="316"/>
        <v>每牙</v>
      </c>
      <c r="P847" t="str">
        <f t="shared" si="313"/>
        <v>手术费</v>
      </c>
    </row>
    <row r="848" spans="1:16">
      <c r="A848" t="str">
        <f>"阻生牙拔除术"</f>
        <v>阻生牙拔除术</v>
      </c>
      <c r="B848">
        <v>330604006</v>
      </c>
      <c r="C848" t="str">
        <f t="shared" si="314"/>
        <v>手术</v>
      </c>
      <c r="D848" t="str">
        <f>"003306040060000"</f>
        <v>003306040060000</v>
      </c>
      <c r="G848">
        <v>122</v>
      </c>
      <c r="I848" t="str">
        <f t="shared" si="315"/>
        <v>每牙</v>
      </c>
      <c r="K848" t="str">
        <f>"ZSYBCS"</f>
        <v>ZSYBCS</v>
      </c>
      <c r="L848" t="str">
        <f>"BTARBS"</f>
        <v>BTARBS</v>
      </c>
      <c r="M848">
        <v>122</v>
      </c>
      <c r="N848">
        <v>330604006</v>
      </c>
      <c r="O848" t="str">
        <f t="shared" si="316"/>
        <v>每牙</v>
      </c>
      <c r="P848" t="str">
        <f t="shared" si="313"/>
        <v>手术费</v>
      </c>
    </row>
    <row r="849" spans="1:16">
      <c r="A849" t="str">
        <f>"拔牙创面搔刮术"</f>
        <v>拔牙创面搔刮术</v>
      </c>
      <c r="B849">
        <v>330604007</v>
      </c>
      <c r="C849" t="str">
        <f t="shared" ref="C849:C851" si="317">"其他"</f>
        <v>其他</v>
      </c>
      <c r="D849" t="str">
        <f>"003306040070000"</f>
        <v>003306040070000</v>
      </c>
      <c r="G849">
        <v>27</v>
      </c>
      <c r="I849" t="str">
        <f t="shared" si="315"/>
        <v>每牙</v>
      </c>
      <c r="K849" t="str">
        <f>"BYCMSGS"</f>
        <v>BYCMSGS</v>
      </c>
      <c r="L849" t="str">
        <f>"RAWDRTS"</f>
        <v>RAWDRTS</v>
      </c>
      <c r="M849">
        <v>27</v>
      </c>
      <c r="N849">
        <v>330604007</v>
      </c>
      <c r="O849" t="str">
        <f t="shared" si="316"/>
        <v>每牙</v>
      </c>
      <c r="P849" t="str">
        <f t="shared" si="313"/>
        <v>手术费</v>
      </c>
    </row>
    <row r="850" spans="1:16">
      <c r="A850" t="str">
        <f>"牙再植术"</f>
        <v>牙再植术</v>
      </c>
      <c r="B850">
        <v>330604008</v>
      </c>
      <c r="C850" t="str">
        <f t="shared" si="317"/>
        <v>其他</v>
      </c>
      <c r="D850" t="str">
        <f>"003306040080000"</f>
        <v>003306040080000</v>
      </c>
      <c r="G850">
        <v>108</v>
      </c>
      <c r="I850" t="str">
        <f t="shared" ref="I850:I854" si="318">"-"</f>
        <v>-</v>
      </c>
      <c r="K850" t="str">
        <f>"YZZS"</f>
        <v>YZZS</v>
      </c>
      <c r="L850" t="str">
        <f>"AGSS"</f>
        <v>AGSS</v>
      </c>
      <c r="M850">
        <v>108</v>
      </c>
      <c r="N850">
        <v>330604008</v>
      </c>
      <c r="O850" t="str">
        <f t="shared" si="316"/>
        <v>每牙</v>
      </c>
      <c r="P850" t="str">
        <f t="shared" ref="P850:P854" si="319">"治疗费"</f>
        <v>治疗费</v>
      </c>
    </row>
    <row r="851" spans="1:16">
      <c r="A851" t="str">
        <f>"牙移植术"</f>
        <v>牙移植术</v>
      </c>
      <c r="B851">
        <v>330604009</v>
      </c>
      <c r="C851" t="str">
        <f t="shared" si="317"/>
        <v>其他</v>
      </c>
      <c r="D851" t="str">
        <f>"003306040090000"</f>
        <v>003306040090000</v>
      </c>
      <c r="G851">
        <v>216</v>
      </c>
      <c r="I851" t="str">
        <f t="shared" si="318"/>
        <v>-</v>
      </c>
      <c r="K851" t="str">
        <f>"YYZS"</f>
        <v>YYZS</v>
      </c>
      <c r="L851" t="str">
        <f>"ATSS"</f>
        <v>ATSS</v>
      </c>
      <c r="M851">
        <v>216</v>
      </c>
      <c r="N851">
        <v>330604009</v>
      </c>
      <c r="O851" t="str">
        <f t="shared" si="316"/>
        <v>每牙</v>
      </c>
      <c r="P851" t="str">
        <f t="shared" si="319"/>
        <v>治疗费</v>
      </c>
    </row>
    <row r="852" spans="1:16">
      <c r="A852" t="str">
        <f>"牙槽骨修整术"</f>
        <v>牙槽骨修整术</v>
      </c>
      <c r="B852">
        <v>330604010</v>
      </c>
      <c r="C852" t="str">
        <f t="shared" ref="C852:C856" si="320">"手术"</f>
        <v>手术</v>
      </c>
      <c r="D852" t="str">
        <f>"003306040100000"</f>
        <v>003306040100000</v>
      </c>
      <c r="G852">
        <v>58</v>
      </c>
      <c r="I852" t="str">
        <f t="shared" ref="I852:I856" si="321">"每牙"</f>
        <v>每牙</v>
      </c>
      <c r="K852" t="str">
        <f>"YCGXZS"</f>
        <v>YCGXZS</v>
      </c>
      <c r="L852" t="str">
        <f>"ASMWGS"</f>
        <v>ASMWGS</v>
      </c>
      <c r="M852">
        <v>58</v>
      </c>
      <c r="N852">
        <v>330604010</v>
      </c>
      <c r="O852" t="str">
        <f t="shared" si="316"/>
        <v>每牙</v>
      </c>
      <c r="P852" t="str">
        <f t="shared" ref="P852:P856" si="322">"手术费"</f>
        <v>手术费</v>
      </c>
    </row>
    <row r="853" spans="1:16">
      <c r="A853" t="str">
        <f>"牙槽嵴增高术"</f>
        <v>牙槽嵴增高术</v>
      </c>
      <c r="B853">
        <v>330604011</v>
      </c>
      <c r="C853" t="str">
        <f t="shared" si="320"/>
        <v>手术</v>
      </c>
      <c r="D853" t="str">
        <f>"003306040110000"</f>
        <v>003306040110000</v>
      </c>
      <c r="G853">
        <v>108</v>
      </c>
      <c r="I853" t="str">
        <f t="shared" si="321"/>
        <v>每牙</v>
      </c>
      <c r="K853" t="str">
        <f>"YCJZGS"</f>
        <v>YCJZGS</v>
      </c>
      <c r="L853" t="str">
        <f>"ASMFYS"</f>
        <v>ASMFYS</v>
      </c>
      <c r="M853">
        <v>108</v>
      </c>
      <c r="N853">
        <v>330604011</v>
      </c>
      <c r="O853" t="str">
        <f t="shared" si="316"/>
        <v>每牙</v>
      </c>
      <c r="P853" t="str">
        <f t="shared" si="322"/>
        <v>手术费</v>
      </c>
    </row>
    <row r="854" spans="1:16">
      <c r="A854" t="str">
        <f>"阻生智齿龈瓣整形束"</f>
        <v>阻生智齿龈瓣整形束</v>
      </c>
      <c r="B854">
        <v>330604018</v>
      </c>
      <c r="C854" t="str">
        <f t="shared" ref="C854:C860" si="323">"其他"</f>
        <v>其他</v>
      </c>
      <c r="D854" t="str">
        <f>"003306040180000"</f>
        <v>003306040180000</v>
      </c>
      <c r="G854">
        <v>54</v>
      </c>
      <c r="I854" t="str">
        <f t="shared" si="318"/>
        <v>-</v>
      </c>
      <c r="K854" t="str">
        <f>"ZSZCYBZXS"</f>
        <v>ZSZCYBZXS</v>
      </c>
      <c r="L854" t="str">
        <f>"BTTHHUGGG"</f>
        <v>BTTHHUGGG</v>
      </c>
      <c r="M854">
        <v>54</v>
      </c>
      <c r="N854">
        <v>330604018</v>
      </c>
      <c r="O854" t="str">
        <f t="shared" si="316"/>
        <v>每牙</v>
      </c>
      <c r="P854" t="str">
        <f t="shared" si="319"/>
        <v>治疗费</v>
      </c>
    </row>
    <row r="855" spans="1:16">
      <c r="A855" t="str">
        <f>"皮肤瘘管切除术"</f>
        <v>皮肤瘘管切除术</v>
      </c>
      <c r="B855">
        <v>330604021</v>
      </c>
      <c r="C855" t="str">
        <f t="shared" si="320"/>
        <v>手术</v>
      </c>
      <c r="D855" t="str">
        <f>"003306040210000"</f>
        <v>003306040210000</v>
      </c>
      <c r="G855">
        <v>162</v>
      </c>
      <c r="I855" t="str">
        <f>"次"</f>
        <v>次</v>
      </c>
      <c r="K855" t="str">
        <f>"PFLGQCS"</f>
        <v>PFLGQCS</v>
      </c>
      <c r="L855" t="str">
        <f>"HEUTABS"</f>
        <v>HEUTABS</v>
      </c>
      <c r="M855">
        <v>162</v>
      </c>
      <c r="N855">
        <v>330604021</v>
      </c>
      <c r="O855" t="str">
        <f>"次"</f>
        <v>次</v>
      </c>
      <c r="P855" t="str">
        <f t="shared" si="322"/>
        <v>手术费</v>
      </c>
    </row>
    <row r="856" spans="1:16">
      <c r="A856" t="str">
        <f>"根端囊肿摘除术"</f>
        <v>根端囊肿摘除术</v>
      </c>
      <c r="B856">
        <v>330604022</v>
      </c>
      <c r="C856" t="str">
        <f t="shared" si="320"/>
        <v>手术</v>
      </c>
      <c r="D856" t="str">
        <f>"003306040220000"</f>
        <v>003306040220000</v>
      </c>
      <c r="G856">
        <v>162</v>
      </c>
      <c r="I856" t="str">
        <f t="shared" si="321"/>
        <v>每牙</v>
      </c>
      <c r="K856" t="str">
        <f>"GDNZZCS"</f>
        <v>GDNZZCS</v>
      </c>
      <c r="L856" t="str">
        <f>"SUGERBS"</f>
        <v>SUGERBS</v>
      </c>
      <c r="M856">
        <v>162</v>
      </c>
      <c r="N856">
        <v>330604022</v>
      </c>
      <c r="O856" t="str">
        <f t="shared" ref="O856:O861" si="324">"每牙"</f>
        <v>每牙</v>
      </c>
      <c r="P856" t="str">
        <f t="shared" si="322"/>
        <v>手术费</v>
      </c>
    </row>
    <row r="857" spans="1:16">
      <c r="A857" t="str">
        <f>"牙齿萌出囊肿袋形术"</f>
        <v>牙齿萌出囊肿袋形术</v>
      </c>
      <c r="B857">
        <v>330604023</v>
      </c>
      <c r="C857" t="str">
        <f t="shared" si="323"/>
        <v>其他</v>
      </c>
      <c r="D857" t="str">
        <f>"003306040230000"</f>
        <v>003306040230000</v>
      </c>
      <c r="G857">
        <v>87</v>
      </c>
      <c r="I857" t="str">
        <f t="shared" ref="I857:I860" si="325">"-"</f>
        <v>-</v>
      </c>
      <c r="K857" t="str">
        <f>"YCMCNZDXS"</f>
        <v>YCMCNZDXS</v>
      </c>
      <c r="L857" t="str">
        <f>"AHABGEWGS"</f>
        <v>AHABGEWGS</v>
      </c>
      <c r="M857">
        <v>87</v>
      </c>
      <c r="N857">
        <v>330604023</v>
      </c>
      <c r="O857" t="str">
        <f t="shared" si="324"/>
        <v>每牙</v>
      </c>
      <c r="P857" t="str">
        <f t="shared" ref="P857:P860" si="326">"治疗费"</f>
        <v>治疗费</v>
      </c>
    </row>
    <row r="858" spans="1:16">
      <c r="A858" t="str">
        <f>"牙外科正畸术"</f>
        <v>牙外科正畸术</v>
      </c>
      <c r="B858">
        <v>330604025</v>
      </c>
      <c r="C858" t="str">
        <f>"手术"</f>
        <v>手术</v>
      </c>
      <c r="D858" t="str">
        <f>"003306040250000"</f>
        <v>003306040250000</v>
      </c>
      <c r="G858">
        <v>162</v>
      </c>
      <c r="I858" t="str">
        <f>"每牙"</f>
        <v>每牙</v>
      </c>
      <c r="K858" t="str">
        <f>"YWKZJS"</f>
        <v>YWKZJS</v>
      </c>
      <c r="L858" t="str">
        <f>"AQTGLS"</f>
        <v>AQTGLS</v>
      </c>
      <c r="M858">
        <v>162</v>
      </c>
      <c r="N858">
        <v>330604025</v>
      </c>
      <c r="O858" t="str">
        <f t="shared" si="324"/>
        <v>每牙</v>
      </c>
      <c r="P858" t="str">
        <f>"手术费"</f>
        <v>手术费</v>
      </c>
    </row>
    <row r="859" spans="1:16">
      <c r="A859" t="str">
        <f>"根尖切除术"</f>
        <v>根尖切除术</v>
      </c>
      <c r="B859">
        <v>330604026</v>
      </c>
      <c r="C859" t="str">
        <f t="shared" si="323"/>
        <v>其他</v>
      </c>
      <c r="D859" t="str">
        <f>"003306040260000"</f>
        <v>003306040260000</v>
      </c>
      <c r="G859">
        <v>162</v>
      </c>
      <c r="I859" t="str">
        <f t="shared" si="325"/>
        <v>-</v>
      </c>
      <c r="K859" t="str">
        <f>"GJQCS"</f>
        <v>GJQCS</v>
      </c>
      <c r="L859" t="str">
        <f>"SIABS"</f>
        <v>SIABS</v>
      </c>
      <c r="M859">
        <v>162</v>
      </c>
      <c r="N859">
        <v>330604026</v>
      </c>
      <c r="O859" t="str">
        <f t="shared" si="324"/>
        <v>每牙</v>
      </c>
      <c r="P859" t="str">
        <f t="shared" si="326"/>
        <v>治疗费</v>
      </c>
    </row>
    <row r="860" spans="1:16">
      <c r="A860" t="str">
        <f>"根尖搔刮术"</f>
        <v>根尖搔刮术</v>
      </c>
      <c r="B860">
        <v>330604027</v>
      </c>
      <c r="C860" t="str">
        <f t="shared" si="323"/>
        <v>其他</v>
      </c>
      <c r="D860" t="str">
        <f>"003306040270000"</f>
        <v>003306040270000</v>
      </c>
      <c r="G860">
        <v>87</v>
      </c>
      <c r="I860" t="str">
        <f t="shared" si="325"/>
        <v>-</v>
      </c>
      <c r="K860" t="str">
        <f>"GJSGS"</f>
        <v>GJSGS</v>
      </c>
      <c r="L860" t="str">
        <f>"SIRTS"</f>
        <v>SIRTS</v>
      </c>
      <c r="M860">
        <v>87</v>
      </c>
      <c r="N860">
        <v>330604027</v>
      </c>
      <c r="O860" t="str">
        <f t="shared" si="324"/>
        <v>每牙</v>
      </c>
      <c r="P860" t="str">
        <f t="shared" si="326"/>
        <v>治疗费</v>
      </c>
    </row>
    <row r="861" spans="1:16">
      <c r="A861" t="str">
        <f>"牙龈翻瓣术"</f>
        <v>牙龈翻瓣术</v>
      </c>
      <c r="B861">
        <v>330604029</v>
      </c>
      <c r="C861" t="str">
        <f t="shared" ref="C861:C868" si="327">"手术"</f>
        <v>手术</v>
      </c>
      <c r="D861" t="str">
        <f>"003306040290000"</f>
        <v>003306040290000</v>
      </c>
      <c r="G861">
        <v>97</v>
      </c>
      <c r="I861" t="str">
        <f t="shared" ref="I861:I865" si="328">"每牙"</f>
        <v>每牙</v>
      </c>
      <c r="K861" t="str">
        <f>"YYFBS"</f>
        <v>YYFBS</v>
      </c>
      <c r="L861" t="str">
        <f>"AHTUS"</f>
        <v>AHTUS</v>
      </c>
      <c r="M861">
        <v>97</v>
      </c>
      <c r="N861">
        <v>330604029</v>
      </c>
      <c r="O861" t="str">
        <f t="shared" si="324"/>
        <v>每牙</v>
      </c>
      <c r="P861" t="str">
        <f t="shared" ref="P861:P868" si="329">"手术费"</f>
        <v>手术费</v>
      </c>
    </row>
    <row r="862" spans="1:16">
      <c r="A862" t="str">
        <f>"牙龈再生术"</f>
        <v>牙龈再生术</v>
      </c>
      <c r="B862">
        <v>330604030</v>
      </c>
      <c r="C862" t="str">
        <f>"其他"</f>
        <v>其他</v>
      </c>
      <c r="D862" t="str">
        <f>"003306040300000"</f>
        <v>003306040300000</v>
      </c>
      <c r="G862">
        <v>97</v>
      </c>
      <c r="I862" t="str">
        <f>"-"</f>
        <v>-</v>
      </c>
      <c r="K862" t="str">
        <f>"YYZSS"</f>
        <v>YYZSS</v>
      </c>
      <c r="L862" t="str">
        <f>"AHGTS"</f>
        <v>AHGTS</v>
      </c>
      <c r="M862">
        <v>97</v>
      </c>
      <c r="N862">
        <v>330604030</v>
      </c>
      <c r="O862" t="str">
        <f>"每组"</f>
        <v>每组</v>
      </c>
      <c r="P862" t="str">
        <f>"治疗费"</f>
        <v>治疗费</v>
      </c>
    </row>
    <row r="863" spans="1:16">
      <c r="A863" t="str">
        <f>"牙龈切除术"</f>
        <v>牙龈切除术</v>
      </c>
      <c r="B863">
        <v>330604031</v>
      </c>
      <c r="C863" t="str">
        <f>"其他"</f>
        <v>其他</v>
      </c>
      <c r="D863" t="str">
        <f>"003306040310000"</f>
        <v>003306040310000</v>
      </c>
      <c r="G863">
        <v>43</v>
      </c>
      <c r="I863" t="str">
        <f>"-"</f>
        <v>-</v>
      </c>
      <c r="K863" t="str">
        <f>"YYQCS"</f>
        <v>YYQCS</v>
      </c>
      <c r="L863" t="str">
        <f>"AHABS"</f>
        <v>AHABS</v>
      </c>
      <c r="M863">
        <v>43</v>
      </c>
      <c r="N863">
        <v>330604031</v>
      </c>
      <c r="O863" t="str">
        <f t="shared" ref="O863:O865" si="330">"每牙"</f>
        <v>每牙</v>
      </c>
      <c r="P863" t="str">
        <f>"治疗费"</f>
        <v>治疗费</v>
      </c>
    </row>
    <row r="864" spans="1:16">
      <c r="A864" t="str">
        <f>"牙周骨成形手术"</f>
        <v>牙周骨成形手术</v>
      </c>
      <c r="B864">
        <v>330604033</v>
      </c>
      <c r="C864" t="str">
        <f t="shared" si="327"/>
        <v>手术</v>
      </c>
      <c r="D864" t="str">
        <f>"003306040330000"</f>
        <v>003306040330000</v>
      </c>
      <c r="G864">
        <v>54</v>
      </c>
      <c r="I864" t="str">
        <f t="shared" si="328"/>
        <v>每牙</v>
      </c>
      <c r="K864" t="str">
        <f>"YZGCXSS"</f>
        <v>YZGCXSS</v>
      </c>
      <c r="L864" t="str">
        <f>"AMMDGRS"</f>
        <v>AMMDGRS</v>
      </c>
      <c r="M864">
        <v>58</v>
      </c>
      <c r="N864">
        <v>330604033</v>
      </c>
      <c r="O864" t="str">
        <f t="shared" si="330"/>
        <v>每牙</v>
      </c>
      <c r="P864" t="str">
        <f t="shared" si="329"/>
        <v>手术费</v>
      </c>
    </row>
    <row r="865" spans="1:16">
      <c r="A865" t="str">
        <f>"牙冠延长术"</f>
        <v>牙冠延长术</v>
      </c>
      <c r="B865">
        <v>330604034</v>
      </c>
      <c r="C865" t="str">
        <f t="shared" si="327"/>
        <v>手术</v>
      </c>
      <c r="D865" t="str">
        <f>"003306040340000"</f>
        <v>003306040340000</v>
      </c>
      <c r="G865">
        <v>87</v>
      </c>
      <c r="I865" t="str">
        <f t="shared" si="328"/>
        <v>每牙</v>
      </c>
      <c r="K865" t="str">
        <f>"YGYCS"</f>
        <v>YGYCS</v>
      </c>
      <c r="L865" t="str">
        <f>"APTTS"</f>
        <v>APTTS</v>
      </c>
      <c r="M865">
        <v>87</v>
      </c>
      <c r="N865">
        <v>330604034</v>
      </c>
      <c r="O865" t="str">
        <f t="shared" si="330"/>
        <v>每牙</v>
      </c>
      <c r="P865" t="str">
        <f t="shared" si="329"/>
        <v>手术费</v>
      </c>
    </row>
    <row r="866" spans="1:16">
      <c r="A866" t="str">
        <f>"龈瘤切除术"</f>
        <v>龈瘤切除术</v>
      </c>
      <c r="B866">
        <v>330604035</v>
      </c>
      <c r="C866" t="str">
        <f t="shared" si="327"/>
        <v>手术</v>
      </c>
      <c r="D866" t="str">
        <f>"003306040350000"</f>
        <v>003306040350000</v>
      </c>
      <c r="G866">
        <v>87</v>
      </c>
      <c r="I866" t="str">
        <f>"次"</f>
        <v>次</v>
      </c>
      <c r="K866" t="str">
        <f>"YLQCS"</f>
        <v>YLQCS</v>
      </c>
      <c r="L866" t="str">
        <f>"HUABS"</f>
        <v>HUABS</v>
      </c>
      <c r="M866">
        <v>95</v>
      </c>
      <c r="N866">
        <v>330604035</v>
      </c>
      <c r="O866" t="str">
        <f>"次"</f>
        <v>次</v>
      </c>
      <c r="P866" t="str">
        <f t="shared" si="329"/>
        <v>手术费</v>
      </c>
    </row>
    <row r="867" spans="1:16">
      <c r="A867" t="str">
        <f>"牙周植骨术"</f>
        <v>牙周植骨术</v>
      </c>
      <c r="B867">
        <v>330604036</v>
      </c>
      <c r="C867" t="str">
        <f t="shared" si="327"/>
        <v>手术</v>
      </c>
      <c r="D867" t="str">
        <f>"003306040360000"</f>
        <v>003306040360000</v>
      </c>
      <c r="G867">
        <v>141</v>
      </c>
      <c r="I867" t="str">
        <f t="shared" ref="I867:I869" si="331">"每牙"</f>
        <v>每牙</v>
      </c>
      <c r="K867" t="str">
        <f>"YZZGS"</f>
        <v>YZZGS</v>
      </c>
      <c r="L867" t="str">
        <f>"AMSMS"</f>
        <v>AMSMS</v>
      </c>
      <c r="M867">
        <v>141</v>
      </c>
      <c r="N867">
        <v>330604036</v>
      </c>
      <c r="O867" t="str">
        <f t="shared" ref="O867:O874" si="332">"每牙"</f>
        <v>每牙</v>
      </c>
      <c r="P867" t="str">
        <f t="shared" si="329"/>
        <v>手术费</v>
      </c>
    </row>
    <row r="868" spans="1:16">
      <c r="A868" t="str">
        <f>"截根术"</f>
        <v>截根术</v>
      </c>
      <c r="B868">
        <v>330604037</v>
      </c>
      <c r="C868" t="str">
        <f t="shared" si="327"/>
        <v>手术</v>
      </c>
      <c r="D868" t="str">
        <f>"003306040370000"</f>
        <v>003306040370000</v>
      </c>
      <c r="G868">
        <v>108</v>
      </c>
      <c r="I868" t="str">
        <f t="shared" si="331"/>
        <v>每牙</v>
      </c>
      <c r="K868" t="str">
        <f>"JGS"</f>
        <v>JGS</v>
      </c>
      <c r="L868" t="str">
        <f>"FSS"</f>
        <v>FSS</v>
      </c>
      <c r="M868">
        <v>108</v>
      </c>
      <c r="N868">
        <v>330604037</v>
      </c>
      <c r="O868" t="str">
        <f t="shared" si="332"/>
        <v>每牙</v>
      </c>
      <c r="P868" t="str">
        <f t="shared" si="329"/>
        <v>手术费</v>
      </c>
    </row>
    <row r="869" spans="1:16">
      <c r="A869" t="str">
        <f>"分根术"</f>
        <v>分根术</v>
      </c>
      <c r="B869">
        <v>330604038</v>
      </c>
      <c r="C869" t="str">
        <f>"其他"</f>
        <v>其他</v>
      </c>
      <c r="D869" t="str">
        <f>"003306040380000"</f>
        <v>003306040380000</v>
      </c>
      <c r="G869">
        <v>76</v>
      </c>
      <c r="I869" t="str">
        <f t="shared" si="331"/>
        <v>每牙</v>
      </c>
      <c r="K869" t="str">
        <f>"FGS"</f>
        <v>FGS</v>
      </c>
      <c r="L869" t="str">
        <f>"WSS"</f>
        <v>WSS</v>
      </c>
      <c r="M869">
        <v>76</v>
      </c>
      <c r="N869">
        <v>330604038</v>
      </c>
      <c r="O869" t="str">
        <f t="shared" si="332"/>
        <v>每牙</v>
      </c>
      <c r="P869" t="str">
        <f>"治疗费"</f>
        <v>治疗费</v>
      </c>
    </row>
    <row r="870" spans="1:16">
      <c r="A870" t="str">
        <f>"半牙切除术"</f>
        <v>半牙切除术</v>
      </c>
      <c r="B870">
        <v>330604039</v>
      </c>
      <c r="C870" t="str">
        <f>"其他"</f>
        <v>其他</v>
      </c>
      <c r="D870" t="str">
        <f>"003306040390000"</f>
        <v>003306040390000</v>
      </c>
      <c r="G870">
        <v>76</v>
      </c>
      <c r="I870" t="str">
        <f>"-"</f>
        <v>-</v>
      </c>
      <c r="K870" t="str">
        <f>"BYQCS"</f>
        <v>BYQCS</v>
      </c>
      <c r="L870" t="str">
        <f>"UAABS"</f>
        <v>UAABS</v>
      </c>
      <c r="M870">
        <v>76</v>
      </c>
      <c r="N870">
        <v>330604039</v>
      </c>
      <c r="O870" t="str">
        <f t="shared" si="332"/>
        <v>每牙</v>
      </c>
      <c r="P870" t="str">
        <f>"治疗费"</f>
        <v>治疗费</v>
      </c>
    </row>
    <row r="871" spans="1:16">
      <c r="A871" t="str">
        <f>"引导性牙周组织再生术"</f>
        <v>引导性牙周组织再生术</v>
      </c>
      <c r="B871">
        <v>330604040</v>
      </c>
      <c r="C871" t="str">
        <f t="shared" ref="C871:C895" si="333">"手术"</f>
        <v>手术</v>
      </c>
      <c r="D871" t="str">
        <f>"003306040400000"</f>
        <v>003306040400000</v>
      </c>
      <c r="G871">
        <v>108</v>
      </c>
      <c r="I871" t="str">
        <f t="shared" ref="I871:I874" si="334">"每牙"</f>
        <v>每牙</v>
      </c>
      <c r="K871" t="str">
        <f>"YDXYZZZZSS"</f>
        <v>YDXYZZZZSS</v>
      </c>
      <c r="L871" t="str">
        <f>"XNNAMXXGTS"</f>
        <v>XNNAMXXGTS</v>
      </c>
      <c r="M871">
        <v>115</v>
      </c>
      <c r="N871">
        <v>330604040</v>
      </c>
      <c r="O871" t="str">
        <f t="shared" si="332"/>
        <v>每牙</v>
      </c>
      <c r="P871" t="str">
        <f t="shared" ref="P871:P895" si="335">"手术费"</f>
        <v>手术费</v>
      </c>
    </row>
    <row r="872" spans="1:16">
      <c r="A872" t="str">
        <f>"松动牙根管内固定术"</f>
        <v>松动牙根管内固定术</v>
      </c>
      <c r="B872">
        <v>330604041</v>
      </c>
      <c r="C872" t="str">
        <f t="shared" si="333"/>
        <v>手术</v>
      </c>
      <c r="D872" t="str">
        <f>"003306040410000"</f>
        <v>003306040410000</v>
      </c>
      <c r="G872">
        <v>108</v>
      </c>
      <c r="I872" t="str">
        <f t="shared" si="334"/>
        <v>每牙</v>
      </c>
      <c r="K872" t="str">
        <f>"SDYGGNGDS"</f>
        <v>SDYGGNGDS</v>
      </c>
      <c r="L872" t="str">
        <f>"SFASTMLPS"</f>
        <v>SFASTMLPS</v>
      </c>
      <c r="M872">
        <v>108</v>
      </c>
      <c r="N872">
        <v>330604041</v>
      </c>
      <c r="O872" t="str">
        <f t="shared" si="332"/>
        <v>每牙</v>
      </c>
      <c r="P872" t="str">
        <f t="shared" si="335"/>
        <v>手术费</v>
      </c>
    </row>
    <row r="873" spans="1:16">
      <c r="A873" t="str">
        <f>"牙周组织瓣移植术"</f>
        <v>牙周组织瓣移植术</v>
      </c>
      <c r="B873">
        <v>330604042</v>
      </c>
      <c r="C873" t="str">
        <f t="shared" si="333"/>
        <v>手术</v>
      </c>
      <c r="D873" t="str">
        <f>"003306040420000"</f>
        <v>003306040420000</v>
      </c>
      <c r="G873">
        <v>162</v>
      </c>
      <c r="I873" t="str">
        <f t="shared" si="334"/>
        <v>每牙</v>
      </c>
      <c r="K873" t="str">
        <f>"YZZZBYZS"</f>
        <v>YZZZBYZS</v>
      </c>
      <c r="L873" t="str">
        <f>"AMXXUTSS"</f>
        <v>AMXXUTSS</v>
      </c>
      <c r="M873">
        <v>162</v>
      </c>
      <c r="N873">
        <v>330604042</v>
      </c>
      <c r="O873" t="str">
        <f t="shared" si="332"/>
        <v>每牙</v>
      </c>
      <c r="P873" t="str">
        <f t="shared" si="335"/>
        <v>手术费</v>
      </c>
    </row>
    <row r="874" spans="1:16">
      <c r="A874" t="str">
        <f>"牙周纤维环状切断术"</f>
        <v>牙周纤维环状切断术</v>
      </c>
      <c r="B874">
        <v>330604043</v>
      </c>
      <c r="C874" t="str">
        <f t="shared" si="333"/>
        <v>手术</v>
      </c>
      <c r="D874" t="str">
        <f>"003306040430000"</f>
        <v>003306040430000</v>
      </c>
      <c r="G874">
        <v>54</v>
      </c>
      <c r="I874" t="str">
        <f t="shared" si="334"/>
        <v>每牙</v>
      </c>
      <c r="K874" t="str">
        <f>"YZXWHZQDS"</f>
        <v>YZXWHZQDS</v>
      </c>
      <c r="L874" t="str">
        <f>"AMXXGUAOS"</f>
        <v>AMXXGUAOS</v>
      </c>
      <c r="M874">
        <v>54</v>
      </c>
      <c r="N874">
        <v>330604043</v>
      </c>
      <c r="O874" t="str">
        <f t="shared" si="332"/>
        <v>每牙</v>
      </c>
      <c r="P874" t="str">
        <f t="shared" si="335"/>
        <v>手术费</v>
      </c>
    </row>
    <row r="875" spans="1:16">
      <c r="A875" t="str">
        <f>"口腔颌面部小肿物切除术"</f>
        <v>口腔颌面部小肿物切除术</v>
      </c>
      <c r="B875">
        <v>330605001</v>
      </c>
      <c r="C875" t="str">
        <f t="shared" si="333"/>
        <v>手术</v>
      </c>
      <c r="D875" t="str">
        <f>"003306050010000"</f>
        <v>003306050010000</v>
      </c>
      <c r="G875">
        <v>54</v>
      </c>
      <c r="I875" t="str">
        <f t="shared" ref="I875:I887" si="336">"次"</f>
        <v>次</v>
      </c>
      <c r="K875" t="str">
        <f>"KQHMBXZWQCS"</f>
        <v>KQHMBXZWQCS</v>
      </c>
      <c r="L875" t="str">
        <f>"KEWDUIETABS"</f>
        <v>KEWDUIETABS</v>
      </c>
      <c r="M875">
        <v>62</v>
      </c>
      <c r="N875">
        <v>330605001</v>
      </c>
      <c r="O875" t="str">
        <f t="shared" ref="O875:O895" si="337">"次"</f>
        <v>次</v>
      </c>
      <c r="P875" t="str">
        <f t="shared" si="335"/>
        <v>手术费</v>
      </c>
    </row>
    <row r="876" spans="1:16">
      <c r="A876" t="str">
        <f>"腭部肿物局部扩大切除术"</f>
        <v>腭部肿物局部扩大切除术</v>
      </c>
      <c r="B876">
        <v>330605023</v>
      </c>
      <c r="C876" t="str">
        <f t="shared" si="333"/>
        <v>手术</v>
      </c>
      <c r="D876" t="str">
        <f>"003306050230000"</f>
        <v>003306050230000</v>
      </c>
      <c r="G876">
        <v>432</v>
      </c>
      <c r="I876" t="str">
        <f t="shared" si="336"/>
        <v>次</v>
      </c>
      <c r="K876" t="str">
        <f>"EBZWJBKDQCS"</f>
        <v>EBZWJBKDQCS</v>
      </c>
      <c r="L876" t="str">
        <f>"EUETNURDABS"</f>
        <v>EUETNURDABS</v>
      </c>
      <c r="M876">
        <v>432</v>
      </c>
      <c r="N876">
        <v>330605023</v>
      </c>
      <c r="O876" t="str">
        <f t="shared" si="337"/>
        <v>次</v>
      </c>
      <c r="P876" t="str">
        <f t="shared" si="335"/>
        <v>手术费</v>
      </c>
    </row>
    <row r="877" spans="1:16">
      <c r="A877" t="str">
        <f>"口腔颌面软组织清创术(中)"</f>
        <v>口腔颌面软组织清创术(中)</v>
      </c>
      <c r="B877">
        <v>330608002</v>
      </c>
      <c r="C877" t="str">
        <f t="shared" si="333"/>
        <v>手术</v>
      </c>
      <c r="D877" t="str">
        <f>"003306080020000"</f>
        <v>003306080020000</v>
      </c>
      <c r="G877">
        <v>284</v>
      </c>
      <c r="I877" t="str">
        <f t="shared" si="336"/>
        <v>次</v>
      </c>
      <c r="K877" t="str">
        <f>"KQHMRZZQCS(Z)"</f>
        <v>KQHMRZZQCS(Z)</v>
      </c>
      <c r="L877" t="str">
        <f>"KEWDLXXIWS(K)"</f>
        <v>KEWDLXXIWS(K)</v>
      </c>
      <c r="M877">
        <v>320</v>
      </c>
      <c r="N877">
        <v>330608002</v>
      </c>
      <c r="O877" t="str">
        <f t="shared" si="337"/>
        <v>次</v>
      </c>
      <c r="P877" t="str">
        <f t="shared" si="335"/>
        <v>手术费</v>
      </c>
    </row>
    <row r="878" spans="1:16">
      <c r="A878" t="str">
        <f>"口腔颌面软组织清创术(小)"</f>
        <v>口腔颌面软组织清创术(小)</v>
      </c>
      <c r="B878">
        <v>330608003</v>
      </c>
      <c r="C878" t="str">
        <f t="shared" si="333"/>
        <v>手术</v>
      </c>
      <c r="D878" t="str">
        <f>"003306080030000"</f>
        <v>003306080030000</v>
      </c>
      <c r="G878">
        <v>108</v>
      </c>
      <c r="I878" t="str">
        <f t="shared" si="336"/>
        <v>次</v>
      </c>
      <c r="K878" t="str">
        <f>"KQHMRZZQCS(X)"</f>
        <v>KQHMRZZQCS(X)</v>
      </c>
      <c r="L878" t="str">
        <f>"KEWDLXXIWS(I)"</f>
        <v>KEWDLXXIWS(I)</v>
      </c>
      <c r="M878">
        <v>122</v>
      </c>
      <c r="N878">
        <v>330608003</v>
      </c>
      <c r="O878" t="str">
        <f t="shared" si="337"/>
        <v>次</v>
      </c>
      <c r="P878" t="str">
        <f t="shared" si="335"/>
        <v>手术费</v>
      </c>
    </row>
    <row r="879" spans="1:16">
      <c r="A879" t="str">
        <f>"胸壁外伤扩创术"</f>
        <v>胸壁外伤扩创术</v>
      </c>
      <c r="B879">
        <v>330703011</v>
      </c>
      <c r="C879" t="str">
        <f t="shared" si="333"/>
        <v>手术</v>
      </c>
      <c r="D879" t="str">
        <f>"003307030110000"</f>
        <v>003307030110000</v>
      </c>
      <c r="G879">
        <v>756</v>
      </c>
      <c r="I879" t="str">
        <f t="shared" si="336"/>
        <v>次</v>
      </c>
      <c r="K879" t="str">
        <f>"XBWSKCS"</f>
        <v>XBWSKCS</v>
      </c>
      <c r="L879" t="str">
        <f>"ENQWRWS"</f>
        <v>ENQWRWS</v>
      </c>
      <c r="M879">
        <v>756</v>
      </c>
      <c r="N879">
        <v>330703011</v>
      </c>
      <c r="O879" t="str">
        <f t="shared" si="337"/>
        <v>次</v>
      </c>
      <c r="P879" t="str">
        <f t="shared" si="335"/>
        <v>手术费</v>
      </c>
    </row>
    <row r="880" spans="1:16">
      <c r="A880" t="str">
        <f>"胸腔闭式引流术"</f>
        <v>胸腔闭式引流术</v>
      </c>
      <c r="B880">
        <v>330703017</v>
      </c>
      <c r="C880" t="str">
        <f t="shared" si="333"/>
        <v>手术</v>
      </c>
      <c r="D880" t="str">
        <f>"003307030170000"</f>
        <v>003307030170000</v>
      </c>
      <c r="G880">
        <v>324</v>
      </c>
      <c r="I880" t="str">
        <f t="shared" si="336"/>
        <v>次</v>
      </c>
      <c r="K880" t="str">
        <f>"XQBSYLS"</f>
        <v>XQBSYLS</v>
      </c>
      <c r="L880" t="str">
        <f>"EEUAXIS"</f>
        <v>EEUAXIS</v>
      </c>
      <c r="M880">
        <v>324</v>
      </c>
      <c r="N880">
        <v>330703017</v>
      </c>
      <c r="O880" t="str">
        <f t="shared" si="337"/>
        <v>次</v>
      </c>
      <c r="P880" t="str">
        <f t="shared" si="335"/>
        <v>手术费</v>
      </c>
    </row>
    <row r="881" spans="1:16">
      <c r="A881" t="str">
        <f>"脓胸引流清除术"</f>
        <v>脓胸引流清除术</v>
      </c>
      <c r="B881">
        <v>330703020</v>
      </c>
      <c r="C881" t="str">
        <f t="shared" si="333"/>
        <v>手术</v>
      </c>
      <c r="D881" t="str">
        <f>"003307030200000"</f>
        <v>003307030200000</v>
      </c>
      <c r="G881">
        <v>972</v>
      </c>
      <c r="I881" t="str">
        <f t="shared" si="336"/>
        <v>次</v>
      </c>
      <c r="K881" t="str">
        <f>"NXYLQCS"</f>
        <v>NXYLQCS</v>
      </c>
      <c r="L881" t="str">
        <f>"EEXIIBS"</f>
        <v>EEXIIBS</v>
      </c>
      <c r="M881">
        <v>1381</v>
      </c>
      <c r="N881">
        <v>330703020</v>
      </c>
      <c r="O881" t="str">
        <f t="shared" si="337"/>
        <v>次</v>
      </c>
      <c r="P881" t="str">
        <f t="shared" si="335"/>
        <v>手术费</v>
      </c>
    </row>
    <row r="882" spans="1:16">
      <c r="A882" t="str">
        <f>"阑尾切除术"</f>
        <v>阑尾切除术</v>
      </c>
      <c r="B882">
        <v>331003022</v>
      </c>
      <c r="C882" t="str">
        <f t="shared" si="333"/>
        <v>手术</v>
      </c>
      <c r="D882" t="str">
        <f>"003310030220000"</f>
        <v>003310030220000</v>
      </c>
      <c r="G882">
        <v>540</v>
      </c>
      <c r="I882" t="str">
        <f t="shared" si="336"/>
        <v>次</v>
      </c>
      <c r="K882" t="str">
        <f>"LWQCS"</f>
        <v>LWQCS</v>
      </c>
      <c r="L882" t="str">
        <f>"UNABS"</f>
        <v>UNABS</v>
      </c>
      <c r="M882">
        <v>623</v>
      </c>
      <c r="N882">
        <v>331003022</v>
      </c>
      <c r="O882" t="str">
        <f t="shared" si="337"/>
        <v>次</v>
      </c>
      <c r="P882" t="str">
        <f t="shared" si="335"/>
        <v>手术费</v>
      </c>
    </row>
    <row r="883" spans="1:16">
      <c r="A883" t="str">
        <f>"直肠出血缝扎术"</f>
        <v>直肠出血缝扎术</v>
      </c>
      <c r="B883">
        <v>331004001</v>
      </c>
      <c r="C883" t="str">
        <f t="shared" si="333"/>
        <v>手术</v>
      </c>
      <c r="D883" t="str">
        <f>"003310040010000"</f>
        <v>003310040010000</v>
      </c>
      <c r="G883">
        <v>378</v>
      </c>
      <c r="I883" t="str">
        <f t="shared" si="336"/>
        <v>次</v>
      </c>
      <c r="K883" t="str">
        <f>"ZCCXFZS"</f>
        <v>ZCCXFZS</v>
      </c>
      <c r="L883" t="str">
        <f>"FEBTXRS"</f>
        <v>FEBTXRS</v>
      </c>
      <c r="M883">
        <v>378</v>
      </c>
      <c r="N883">
        <v>331004001</v>
      </c>
      <c r="O883" t="str">
        <f t="shared" si="337"/>
        <v>次</v>
      </c>
      <c r="P883" t="str">
        <f t="shared" si="335"/>
        <v>手术费</v>
      </c>
    </row>
    <row r="884" spans="1:16">
      <c r="A884" t="str">
        <f>"直肠肛门周围脓肿切开排脓术"</f>
        <v>直肠肛门周围脓肿切开排脓术</v>
      </c>
      <c r="B884">
        <v>331004009</v>
      </c>
      <c r="C884" t="str">
        <f t="shared" si="333"/>
        <v>手术</v>
      </c>
      <c r="D884" t="str">
        <f>"003310040090000"</f>
        <v>003310040090000</v>
      </c>
      <c r="G884">
        <v>284</v>
      </c>
      <c r="I884" t="str">
        <f t="shared" si="336"/>
        <v>次</v>
      </c>
      <c r="K884" t="str">
        <f>"ZCGMZWNZQKPNS"</f>
        <v>ZCGMZWNZQKPNS</v>
      </c>
      <c r="L884" t="str">
        <f>"FEEUMLEEAGRES"</f>
        <v>FEEUMLEEAGRES</v>
      </c>
      <c r="M884">
        <v>284</v>
      </c>
      <c r="N884">
        <v>331004009</v>
      </c>
      <c r="O884" t="str">
        <f t="shared" si="337"/>
        <v>次</v>
      </c>
      <c r="P884" t="str">
        <f t="shared" si="335"/>
        <v>手术费</v>
      </c>
    </row>
    <row r="885" spans="1:16">
      <c r="A885" t="str">
        <f>"肛管缺损修补术"</f>
        <v>肛管缺损修补术</v>
      </c>
      <c r="B885">
        <v>331004019</v>
      </c>
      <c r="C885" t="str">
        <f t="shared" si="333"/>
        <v>手术</v>
      </c>
      <c r="D885" t="str">
        <f>"003310040190000"</f>
        <v>003310040190000</v>
      </c>
      <c r="G885">
        <v>540</v>
      </c>
      <c r="I885" t="str">
        <f t="shared" si="336"/>
        <v>次</v>
      </c>
      <c r="K885" t="str">
        <f>"GGQSXBS"</f>
        <v>GGQSXBS</v>
      </c>
      <c r="L885" t="str">
        <f>"ETRRWPS"</f>
        <v>ETRRWPS</v>
      </c>
      <c r="M885">
        <v>540</v>
      </c>
      <c r="N885">
        <v>331004019</v>
      </c>
      <c r="O885" t="str">
        <f t="shared" si="337"/>
        <v>次</v>
      </c>
      <c r="P885" t="str">
        <f t="shared" si="335"/>
        <v>手术费</v>
      </c>
    </row>
    <row r="886" spans="1:16">
      <c r="A886" t="str">
        <f>"肛周常见疾病手术治疗"</f>
        <v>肛周常见疾病手术治疗</v>
      </c>
      <c r="B886">
        <v>331004020</v>
      </c>
      <c r="C886" t="str">
        <f t="shared" si="333"/>
        <v>手术</v>
      </c>
      <c r="D886" t="str">
        <f>"003310040200000"</f>
        <v>003310040200000</v>
      </c>
      <c r="G886">
        <v>432</v>
      </c>
      <c r="I886" t="str">
        <f t="shared" si="336"/>
        <v>次</v>
      </c>
      <c r="K886" t="str">
        <f>"GZCJJBSSZL"</f>
        <v>GZCJJBSSZL</v>
      </c>
      <c r="L886" t="str">
        <f>"EMIMUURSIU"</f>
        <v>EMIMUURSIU</v>
      </c>
      <c r="M886">
        <v>513</v>
      </c>
      <c r="N886">
        <v>331004020</v>
      </c>
      <c r="O886" t="str">
        <f t="shared" si="337"/>
        <v>次</v>
      </c>
      <c r="P886" t="str">
        <f t="shared" si="335"/>
        <v>手术费</v>
      </c>
    </row>
    <row r="887" spans="1:16">
      <c r="A887" t="str">
        <f>"低位肛瘘切除术"</f>
        <v>低位肛瘘切除术</v>
      </c>
      <c r="B887">
        <v>331004021</v>
      </c>
      <c r="C887" t="str">
        <f t="shared" si="333"/>
        <v>手术</v>
      </c>
      <c r="D887" t="str">
        <f>"003310040210000"</f>
        <v>003310040210000</v>
      </c>
      <c r="G887">
        <v>432</v>
      </c>
      <c r="I887" t="str">
        <f t="shared" si="336"/>
        <v>次</v>
      </c>
      <c r="K887" t="str">
        <f>"DWGLQCS"</f>
        <v>DWGLQCS</v>
      </c>
      <c r="L887" t="str">
        <f>"WWEUABS"</f>
        <v>WWEUABS</v>
      </c>
      <c r="M887">
        <v>432</v>
      </c>
      <c r="N887">
        <v>331004021</v>
      </c>
      <c r="O887" t="str">
        <f t="shared" si="337"/>
        <v>次</v>
      </c>
      <c r="P887" t="str">
        <f t="shared" si="335"/>
        <v>手术费</v>
      </c>
    </row>
    <row r="888" spans="1:16">
      <c r="A888" t="str">
        <f>"复杂肛瘘切除术"</f>
        <v>复杂肛瘘切除术</v>
      </c>
      <c r="B888">
        <v>331004022</v>
      </c>
      <c r="C888" t="str">
        <f t="shared" si="333"/>
        <v>手术</v>
      </c>
      <c r="D888" t="str">
        <f>"003310040220000"</f>
        <v>003310040220000</v>
      </c>
      <c r="G888">
        <v>540</v>
      </c>
      <c r="I888">
        <v>1</v>
      </c>
      <c r="K888" t="str">
        <f>"FZGLQCS"</f>
        <v>FZGLQCS</v>
      </c>
      <c r="L888" t="str">
        <f>"TVEUABS"</f>
        <v>TVEUABS</v>
      </c>
      <c r="M888">
        <v>680</v>
      </c>
      <c r="N888">
        <v>331004022</v>
      </c>
      <c r="O888" t="str">
        <f t="shared" si="337"/>
        <v>次</v>
      </c>
      <c r="P888" t="str">
        <f t="shared" si="335"/>
        <v>手术费</v>
      </c>
    </row>
    <row r="889" spans="1:16">
      <c r="A889" t="str">
        <f>"混合痔嵌顿手法松解回纳术"</f>
        <v>混合痔嵌顿手法松解回纳术</v>
      </c>
      <c r="B889">
        <v>331004023</v>
      </c>
      <c r="C889" t="str">
        <f t="shared" si="333"/>
        <v>手术</v>
      </c>
      <c r="D889" t="str">
        <f>"003310040230000"</f>
        <v>003310040230000</v>
      </c>
      <c r="G889">
        <v>540</v>
      </c>
      <c r="I889" t="str">
        <f t="shared" ref="I889:I891" si="338">"次"</f>
        <v>次</v>
      </c>
      <c r="K889" t="str">
        <f>"HHZQDSFSJHNS"</f>
        <v>HHZQDSFSJHNS</v>
      </c>
      <c r="L889" t="str">
        <f>"IWUMGRISQLXS"</f>
        <v>IWUMGRISQLXS</v>
      </c>
      <c r="M889">
        <v>540</v>
      </c>
      <c r="N889">
        <v>331004023</v>
      </c>
      <c r="O889" t="str">
        <f t="shared" si="337"/>
        <v>次</v>
      </c>
      <c r="P889" t="str">
        <f t="shared" si="335"/>
        <v>手术费</v>
      </c>
    </row>
    <row r="890" spans="1:16">
      <c r="A890" t="str">
        <f>"内痔环切术"</f>
        <v>内痔环切术</v>
      </c>
      <c r="B890">
        <v>331004024</v>
      </c>
      <c r="C890" t="str">
        <f t="shared" si="333"/>
        <v>手术</v>
      </c>
      <c r="D890" t="str">
        <f>"003310040240000"</f>
        <v>003310040240000</v>
      </c>
      <c r="G890">
        <v>540</v>
      </c>
      <c r="I890" t="str">
        <f t="shared" si="338"/>
        <v>次</v>
      </c>
      <c r="K890" t="str">
        <f>"NZHQS"</f>
        <v>NZHQS</v>
      </c>
      <c r="L890" t="str">
        <f>"MUGAS"</f>
        <v>MUGAS</v>
      </c>
      <c r="M890">
        <v>540</v>
      </c>
      <c r="N890">
        <v>331004024</v>
      </c>
      <c r="O890" t="str">
        <f t="shared" si="337"/>
        <v>次</v>
      </c>
      <c r="P890" t="str">
        <f t="shared" si="335"/>
        <v>手术费</v>
      </c>
    </row>
    <row r="891" spans="1:16">
      <c r="A891" t="str">
        <f>"肛门内括约肌侧切术"</f>
        <v>肛门内括约肌侧切术</v>
      </c>
      <c r="B891">
        <v>331004025</v>
      </c>
      <c r="C891" t="str">
        <f t="shared" si="333"/>
        <v>手术</v>
      </c>
      <c r="D891" t="str">
        <f>"003310040250000"</f>
        <v>003310040250000</v>
      </c>
      <c r="G891">
        <v>540</v>
      </c>
      <c r="I891" t="str">
        <f t="shared" si="338"/>
        <v>次</v>
      </c>
      <c r="K891" t="str">
        <f>"GMNKYJCQS"</f>
        <v>GMNKYJCQS</v>
      </c>
      <c r="L891" t="str">
        <f>"EUMRXEWAS"</f>
        <v>EUMRXEWAS</v>
      </c>
      <c r="M891">
        <v>658</v>
      </c>
      <c r="N891">
        <v>331004025</v>
      </c>
      <c r="O891" t="str">
        <f t="shared" si="337"/>
        <v>次</v>
      </c>
      <c r="P891" t="str">
        <f t="shared" si="335"/>
        <v>手术费</v>
      </c>
    </row>
    <row r="892" spans="1:16">
      <c r="A892" t="str">
        <f>"嵌顿包茎松解术"</f>
        <v>嵌顿包茎松解术</v>
      </c>
      <c r="B892">
        <v>331204001</v>
      </c>
      <c r="C892" t="str">
        <f t="shared" si="333"/>
        <v>手术</v>
      </c>
      <c r="D892" t="str">
        <f>"003312040010000"</f>
        <v>003312040010000</v>
      </c>
      <c r="G892">
        <v>216</v>
      </c>
      <c r="I892">
        <v>1</v>
      </c>
      <c r="K892" t="str">
        <f>"QDBJSJS"</f>
        <v>QDBJSJS</v>
      </c>
      <c r="L892" t="str">
        <f>"MGQASQS"</f>
        <v>MGQASQS</v>
      </c>
      <c r="M892">
        <v>216</v>
      </c>
      <c r="N892">
        <v>331204001</v>
      </c>
      <c r="O892" t="str">
        <f t="shared" si="337"/>
        <v>次</v>
      </c>
      <c r="P892" t="str">
        <f t="shared" si="335"/>
        <v>手术费</v>
      </c>
    </row>
    <row r="893" spans="1:16">
      <c r="A893" t="str">
        <f>"包皮环切术"</f>
        <v>包皮环切术</v>
      </c>
      <c r="B893">
        <v>331204002</v>
      </c>
      <c r="C893" t="str">
        <f t="shared" si="333"/>
        <v>手术</v>
      </c>
      <c r="D893" t="str">
        <f>"003312040020000"</f>
        <v>003312040020000</v>
      </c>
      <c r="G893">
        <v>243</v>
      </c>
      <c r="I893" t="str">
        <f>"次"</f>
        <v>次</v>
      </c>
      <c r="K893" t="str">
        <f>"BPHQS"</f>
        <v>BPHQS</v>
      </c>
      <c r="L893" t="str">
        <f>"QHGAS"</f>
        <v>QHGAS</v>
      </c>
      <c r="M893">
        <v>303</v>
      </c>
      <c r="N893">
        <v>331204002</v>
      </c>
      <c r="O893" t="str">
        <f t="shared" si="337"/>
        <v>次</v>
      </c>
      <c r="P893" t="str">
        <f t="shared" si="335"/>
        <v>手术费</v>
      </c>
    </row>
    <row r="894" spans="1:16">
      <c r="A894" t="str">
        <f>"阴茎外伤清创术"</f>
        <v>阴茎外伤清创术</v>
      </c>
      <c r="B894">
        <v>331204004</v>
      </c>
      <c r="C894" t="str">
        <f t="shared" si="333"/>
        <v>手术</v>
      </c>
      <c r="D894" t="str">
        <f>"003312040040000"</f>
        <v>003312040040000</v>
      </c>
      <c r="G894">
        <v>284</v>
      </c>
      <c r="I894" t="str">
        <f>"次"</f>
        <v>次</v>
      </c>
      <c r="K894" t="str">
        <f>"YJWSQCS"</f>
        <v>YJWSQCS</v>
      </c>
      <c r="L894" t="str">
        <f>"BAQWIWS"</f>
        <v>BAQWIWS</v>
      </c>
      <c r="M894">
        <v>284</v>
      </c>
      <c r="N894">
        <v>331204004</v>
      </c>
      <c r="O894" t="str">
        <f t="shared" si="337"/>
        <v>次</v>
      </c>
      <c r="P894" t="str">
        <f t="shared" si="335"/>
        <v>手术费</v>
      </c>
    </row>
    <row r="895" spans="1:16">
      <c r="A895" t="str">
        <f>"宫颈息肉切除术"</f>
        <v>宫颈息肉切除术</v>
      </c>
      <c r="B895">
        <v>331303001</v>
      </c>
      <c r="C895" t="str">
        <f t="shared" si="333"/>
        <v>手术</v>
      </c>
      <c r="D895" t="str">
        <f>"003313030010000"</f>
        <v>003313030010000</v>
      </c>
      <c r="G895">
        <v>54</v>
      </c>
      <c r="I895" t="str">
        <f>"项"</f>
        <v>项</v>
      </c>
      <c r="K895" t="str">
        <f>"GJXRQCS"</f>
        <v>GJXRQCS</v>
      </c>
      <c r="L895" t="str">
        <f>"PCTMABS"</f>
        <v>PCTMABS</v>
      </c>
      <c r="M895">
        <v>224</v>
      </c>
      <c r="N895">
        <v>331303001</v>
      </c>
      <c r="O895" t="str">
        <f t="shared" si="337"/>
        <v>次</v>
      </c>
      <c r="P895" t="str">
        <f t="shared" si="335"/>
        <v>手术费</v>
      </c>
    </row>
    <row r="896" spans="1:16">
      <c r="A896" t="str">
        <f>"粘胶石膏绷带"</f>
        <v>粘胶石膏绷带</v>
      </c>
      <c r="B896" t="str">
        <f>"3315-2-2"</f>
        <v>3315-2-2</v>
      </c>
      <c r="C896" t="str">
        <f>"材料"</f>
        <v>材料</v>
      </c>
      <c r="D896" t="str">
        <f>"C14090118800000056890000012"</f>
        <v>C14090118800000056890000012</v>
      </c>
      <c r="G896">
        <v>8.6</v>
      </c>
      <c r="I896" t="str">
        <f>"15cm*460cm"</f>
        <v>15cm*460cm</v>
      </c>
      <c r="K896" t="str">
        <f>"ZJSGBD"</f>
        <v>ZJSGBD</v>
      </c>
      <c r="L896" t="str">
        <f>"OEDYXG"</f>
        <v>OEDYXG</v>
      </c>
      <c r="M896">
        <v>8.6</v>
      </c>
      <c r="N896" t="str">
        <f>"3315-2"</f>
        <v>3315-2</v>
      </c>
      <c r="O896" t="str">
        <f>"卷"</f>
        <v>卷</v>
      </c>
      <c r="P896" t="str">
        <f>"材料费"</f>
        <v>材料费</v>
      </c>
    </row>
    <row r="897" spans="1:16">
      <c r="A897" t="str">
        <f>"粘胶石膏绷带"</f>
        <v>粘胶石膏绷带</v>
      </c>
      <c r="B897" t="str">
        <f>"3315-2-4"</f>
        <v>3315-2-4</v>
      </c>
      <c r="C897" t="str">
        <f>"材料"</f>
        <v>材料</v>
      </c>
      <c r="D897" t="str">
        <f>"C1703012160100003776"</f>
        <v>C1703012160100003776</v>
      </c>
      <c r="G897">
        <v>10</v>
      </c>
      <c r="I897" t="str">
        <f>"6*5"</f>
        <v>6*5</v>
      </c>
      <c r="K897" t="str">
        <f>"ZJSGBD"</f>
        <v>ZJSGBD</v>
      </c>
      <c r="L897" t="str">
        <f>"OEDYXG"</f>
        <v>OEDYXG</v>
      </c>
      <c r="M897">
        <v>10</v>
      </c>
      <c r="O897" t="str">
        <f>"卷"</f>
        <v>卷</v>
      </c>
      <c r="P897" t="str">
        <f>"材料费"</f>
        <v>材料费</v>
      </c>
    </row>
    <row r="898" spans="1:16">
      <c r="A898" t="str">
        <f>"手(脚)外伤清创术"</f>
        <v>手(脚)外伤清创术</v>
      </c>
      <c r="B898">
        <v>331521008</v>
      </c>
      <c r="C898" t="str">
        <f>"其他"</f>
        <v>其他</v>
      </c>
      <c r="D898" t="str">
        <f>"003315210080000"</f>
        <v>003315210080000</v>
      </c>
      <c r="G898">
        <v>162</v>
      </c>
      <c r="I898">
        <v>1</v>
      </c>
      <c r="K898" t="str">
        <f>"S(J)WSQCS"</f>
        <v>S(J)WSQCS</v>
      </c>
      <c r="L898" t="str">
        <f>"REQWIWS"</f>
        <v>REQWIWS</v>
      </c>
      <c r="M898">
        <v>162</v>
      </c>
      <c r="N898">
        <v>331521008</v>
      </c>
      <c r="O898" t="str">
        <f>"每指"</f>
        <v>每指</v>
      </c>
      <c r="P898" t="str">
        <f t="shared" ref="P898:P910" si="339">"手术费"</f>
        <v>手术费</v>
      </c>
    </row>
    <row r="899" spans="1:16">
      <c r="A899" t="str">
        <f>"手(脚)外伤清创术加收"</f>
        <v>手(脚)外伤清创术加收</v>
      </c>
      <c r="B899" t="str">
        <f>"331521008-a"</f>
        <v>331521008-a</v>
      </c>
      <c r="C899" t="str">
        <f>"其他"</f>
        <v>其他</v>
      </c>
      <c r="D899" t="str">
        <f>"003315210080001"</f>
        <v>003315210080001</v>
      </c>
      <c r="G899">
        <v>150</v>
      </c>
      <c r="I899" t="str">
        <f>"每指"</f>
        <v>每指</v>
      </c>
      <c r="K899" t="str">
        <f>"S(J)WSQCSJS"</f>
        <v>S(J)WSQCSJS</v>
      </c>
      <c r="L899" t="str">
        <f>"REQWIWSLN"</f>
        <v>REQWIWSLN</v>
      </c>
      <c r="M899">
        <v>150</v>
      </c>
      <c r="N899" t="str">
        <f>"331521008-a"</f>
        <v>331521008-a</v>
      </c>
      <c r="O899" t="str">
        <f>"每指"</f>
        <v>每指</v>
      </c>
      <c r="P899" t="str">
        <f t="shared" si="339"/>
        <v>手术费</v>
      </c>
    </row>
    <row r="900" spans="1:16">
      <c r="A900" t="str">
        <f>"手外伤清创术手掌背、前臂者加收"</f>
        <v>手外伤清创术手掌背、前臂者加收</v>
      </c>
      <c r="B900" t="str">
        <f>"331521008-b"</f>
        <v>331521008-b</v>
      </c>
      <c r="C900" t="str">
        <f t="shared" ref="C900:C909" si="340">"手术"</f>
        <v>手术</v>
      </c>
      <c r="D900" t="str">
        <f>"003315210080002"</f>
        <v>003315210080002</v>
      </c>
      <c r="G900">
        <v>150</v>
      </c>
      <c r="I900" t="str">
        <f t="shared" ref="I900:I904" si="341">"次"</f>
        <v>次</v>
      </c>
      <c r="K900" t="str">
        <f>"SWSQCSSZBZQBZJS"</f>
        <v>SWSQCSSZBZQBZJS</v>
      </c>
      <c r="L900" t="str">
        <f>"RQWIWSRIUUNFLN"</f>
        <v>RQWIWSRIUUNFLN</v>
      </c>
      <c r="M900">
        <v>150</v>
      </c>
      <c r="N900" t="str">
        <f>"331521008-b"</f>
        <v>331521008-b</v>
      </c>
      <c r="O900" t="str">
        <f t="shared" ref="O900:O904" si="342">"次"</f>
        <v>次</v>
      </c>
      <c r="P900" t="str">
        <f t="shared" si="339"/>
        <v>手术费</v>
      </c>
    </row>
    <row r="901" spans="1:16">
      <c r="A901" t="str">
        <f>"腱鞘囊肿切除术"</f>
        <v>腱鞘囊肿切除术</v>
      </c>
      <c r="B901">
        <v>331521017</v>
      </c>
      <c r="C901" t="str">
        <f t="shared" si="340"/>
        <v>手术</v>
      </c>
      <c r="D901" t="str">
        <f>"003315210170000"</f>
        <v>003315210170000</v>
      </c>
      <c r="G901">
        <v>432</v>
      </c>
      <c r="I901" t="str">
        <f t="shared" si="341"/>
        <v>次</v>
      </c>
      <c r="K901" t="str">
        <f>"JQNZQCS"</f>
        <v>JQNZQCS</v>
      </c>
      <c r="L901" t="str">
        <f>"EAGEABS"</f>
        <v>EAGEABS</v>
      </c>
      <c r="M901">
        <v>432</v>
      </c>
      <c r="N901">
        <v>331521017</v>
      </c>
      <c r="O901" t="str">
        <f t="shared" si="342"/>
        <v>次</v>
      </c>
      <c r="P901" t="str">
        <f t="shared" si="339"/>
        <v>手术费</v>
      </c>
    </row>
    <row r="902" spans="1:16">
      <c r="A902" t="str">
        <f>"肌性斜颈矫正术"</f>
        <v>肌性斜颈矫正术</v>
      </c>
      <c r="B902">
        <v>331522002</v>
      </c>
      <c r="C902" t="str">
        <f t="shared" si="340"/>
        <v>手术</v>
      </c>
      <c r="D902" t="str">
        <f>"003315220020000"</f>
        <v>003315220020000</v>
      </c>
      <c r="G902">
        <v>756</v>
      </c>
      <c r="I902" t="str">
        <f t="shared" si="341"/>
        <v>次</v>
      </c>
      <c r="K902" t="str">
        <f>"JXXJJZS"</f>
        <v>JXXJJZS</v>
      </c>
      <c r="L902" t="str">
        <f>"ENWCTGS"</f>
        <v>ENWCTGS</v>
      </c>
      <c r="M902">
        <v>756</v>
      </c>
      <c r="N902">
        <v>331522002</v>
      </c>
      <c r="O902" t="str">
        <f t="shared" si="342"/>
        <v>次</v>
      </c>
      <c r="P902" t="str">
        <f t="shared" si="339"/>
        <v>手术费</v>
      </c>
    </row>
    <row r="903" spans="1:16">
      <c r="A903" t="str">
        <f>"手法牵引复位术"</f>
        <v>手法牵引复位术</v>
      </c>
      <c r="B903">
        <v>331523001</v>
      </c>
      <c r="C903" t="str">
        <f t="shared" si="340"/>
        <v>手术</v>
      </c>
      <c r="D903" t="str">
        <f>"003315230010000"</f>
        <v>003315230010000</v>
      </c>
      <c r="G903">
        <v>108</v>
      </c>
      <c r="I903" t="str">
        <f t="shared" si="341"/>
        <v>次</v>
      </c>
      <c r="K903" t="str">
        <f>"SFQYFWS"</f>
        <v>SFQYFWS</v>
      </c>
      <c r="L903" t="str">
        <f>"RIDXTWS"</f>
        <v>RIDXTWS</v>
      </c>
      <c r="M903">
        <v>108</v>
      </c>
      <c r="N903">
        <v>331523001</v>
      </c>
      <c r="O903" t="str">
        <f t="shared" si="342"/>
        <v>次</v>
      </c>
      <c r="P903" t="str">
        <f t="shared" si="339"/>
        <v>手术费</v>
      </c>
    </row>
    <row r="904" spans="1:16">
      <c r="A904" t="str">
        <f>"皮肤牵引术"</f>
        <v>皮肤牵引术</v>
      </c>
      <c r="B904">
        <v>331523002</v>
      </c>
      <c r="C904" t="str">
        <f t="shared" si="340"/>
        <v>手术</v>
      </c>
      <c r="D904" t="str">
        <f>"003315230020000"</f>
        <v>003315230020000</v>
      </c>
      <c r="G904">
        <v>54</v>
      </c>
      <c r="I904" t="str">
        <f t="shared" si="341"/>
        <v>次</v>
      </c>
      <c r="K904" t="str">
        <f>"PFQYS"</f>
        <v>PFQYS</v>
      </c>
      <c r="L904" t="str">
        <f>"HEDXS"</f>
        <v>HEDXS</v>
      </c>
      <c r="M904">
        <v>54</v>
      </c>
      <c r="N904">
        <v>331523002</v>
      </c>
      <c r="O904" t="str">
        <f t="shared" si="342"/>
        <v>次</v>
      </c>
      <c r="P904" t="str">
        <f t="shared" si="339"/>
        <v>手术费</v>
      </c>
    </row>
    <row r="905" spans="1:16">
      <c r="A905" t="str">
        <f>"皮肤牵引术以后持续牵引"</f>
        <v>皮肤牵引术以后持续牵引</v>
      </c>
      <c r="B905" t="str">
        <f>"331523002-a"</f>
        <v>331523002-a</v>
      </c>
      <c r="C905" t="str">
        <f t="shared" si="340"/>
        <v>手术</v>
      </c>
      <c r="D905" t="str">
        <f>"003315230020000"</f>
        <v>003315230020000</v>
      </c>
      <c r="G905">
        <v>11</v>
      </c>
      <c r="I905" t="str">
        <f>"日"</f>
        <v>日</v>
      </c>
      <c r="K905" t="str">
        <f>"PFQYSYHCXQY"</f>
        <v>PFQYSYHCXQY</v>
      </c>
      <c r="L905" t="str">
        <f>"HEDXSCRRXDX"</f>
        <v>HEDXSCRRXDX</v>
      </c>
      <c r="M905">
        <v>11</v>
      </c>
      <c r="N905" t="str">
        <f>"331523002-a"</f>
        <v>331523002-a</v>
      </c>
      <c r="O905" t="str">
        <f>"日"</f>
        <v>日</v>
      </c>
      <c r="P905" t="str">
        <f t="shared" si="339"/>
        <v>手术费</v>
      </c>
    </row>
    <row r="906" spans="1:16">
      <c r="A906" t="str">
        <f>"石膏固定术(特大)"</f>
        <v>石膏固定术(特大)</v>
      </c>
      <c r="B906">
        <v>331523006</v>
      </c>
      <c r="C906" t="str">
        <f t="shared" si="340"/>
        <v>手术</v>
      </c>
      <c r="D906" t="str">
        <f>"003315230060000"</f>
        <v>003315230060000</v>
      </c>
      <c r="G906">
        <v>162</v>
      </c>
      <c r="I906" t="str">
        <f t="shared" ref="I906:I910" si="343">"次"</f>
        <v>次</v>
      </c>
      <c r="K906" t="str">
        <f>"SGGDS(TD)"</f>
        <v>SGGDS(TD)</v>
      </c>
      <c r="L906" t="str">
        <f>"DYLPS(TD)"</f>
        <v>DYLPS(TD)</v>
      </c>
      <c r="M906">
        <v>162</v>
      </c>
      <c r="N906">
        <v>331523006</v>
      </c>
      <c r="O906" t="str">
        <f t="shared" ref="O906:O910" si="344">"次"</f>
        <v>次</v>
      </c>
      <c r="P906" t="str">
        <f t="shared" si="339"/>
        <v>手术费</v>
      </c>
    </row>
    <row r="907" spans="1:16">
      <c r="A907" t="str">
        <f>"石膏固定术(大)"</f>
        <v>石膏固定术(大)</v>
      </c>
      <c r="B907">
        <v>331523007</v>
      </c>
      <c r="C907" t="str">
        <f t="shared" si="340"/>
        <v>手术</v>
      </c>
      <c r="D907" t="str">
        <f>"003315230070000"</f>
        <v>003315230070000</v>
      </c>
      <c r="G907">
        <v>108</v>
      </c>
      <c r="I907" t="str">
        <f t="shared" si="343"/>
        <v>次</v>
      </c>
      <c r="K907" t="str">
        <f>"SGGDS(D)"</f>
        <v>SGGDS(D)</v>
      </c>
      <c r="L907" t="str">
        <f>"DYLPS(D)"</f>
        <v>DYLPS(D)</v>
      </c>
      <c r="M907">
        <v>108</v>
      </c>
      <c r="N907">
        <v>331523007</v>
      </c>
      <c r="O907" t="str">
        <f t="shared" si="344"/>
        <v>次</v>
      </c>
      <c r="P907" t="str">
        <f t="shared" si="339"/>
        <v>手术费</v>
      </c>
    </row>
    <row r="908" spans="1:16">
      <c r="A908" t="str">
        <f>"石膏固定术(中)"</f>
        <v>石膏固定术(中)</v>
      </c>
      <c r="B908">
        <v>331523008</v>
      </c>
      <c r="C908" t="str">
        <f t="shared" si="340"/>
        <v>手术</v>
      </c>
      <c r="D908" t="str">
        <f>"003315230080000"</f>
        <v>003315230080000</v>
      </c>
      <c r="G908">
        <v>65</v>
      </c>
      <c r="I908" t="str">
        <f t="shared" si="343"/>
        <v>次</v>
      </c>
      <c r="K908" t="str">
        <f>"SGGDS(Z)"</f>
        <v>SGGDS(Z)</v>
      </c>
      <c r="L908" t="str">
        <f>"DYLPS(K)"</f>
        <v>DYLPS(K)</v>
      </c>
      <c r="M908">
        <v>97</v>
      </c>
      <c r="N908">
        <v>331523008</v>
      </c>
      <c r="O908" t="str">
        <f t="shared" si="344"/>
        <v>次</v>
      </c>
      <c r="P908" t="str">
        <f t="shared" si="339"/>
        <v>手术费</v>
      </c>
    </row>
    <row r="909" spans="1:16">
      <c r="A909" t="str">
        <f>"石膏固定术(小)"</f>
        <v>石膏固定术(小)</v>
      </c>
      <c r="B909">
        <v>331523009</v>
      </c>
      <c r="C909" t="str">
        <f t="shared" si="340"/>
        <v>手术</v>
      </c>
      <c r="D909" t="str">
        <f>"003315230090000"</f>
        <v>003315230090000</v>
      </c>
      <c r="G909">
        <v>43</v>
      </c>
      <c r="I909" t="str">
        <f t="shared" si="343"/>
        <v>次</v>
      </c>
      <c r="K909" t="str">
        <f>"SGGDS(X)"</f>
        <v>SGGDS(X)</v>
      </c>
      <c r="L909" t="str">
        <f>"DYLPS(I)"</f>
        <v>DYLPS(I)</v>
      </c>
      <c r="M909">
        <v>43</v>
      </c>
      <c r="N909">
        <v>331523009</v>
      </c>
      <c r="O909" t="str">
        <f t="shared" si="344"/>
        <v>次</v>
      </c>
      <c r="P909" t="str">
        <f t="shared" si="339"/>
        <v>手术费</v>
      </c>
    </row>
    <row r="910" spans="1:16">
      <c r="A910" t="str">
        <f>"石膏拆除术"</f>
        <v>石膏拆除术</v>
      </c>
      <c r="B910">
        <v>331523010</v>
      </c>
      <c r="C910" t="str">
        <f t="shared" ref="C910:C914" si="345">"其他"</f>
        <v>其他</v>
      </c>
      <c r="D910" t="str">
        <f>"003315230100000"</f>
        <v>003315230100000</v>
      </c>
      <c r="G910">
        <v>22</v>
      </c>
      <c r="I910" t="str">
        <f t="shared" si="343"/>
        <v>次</v>
      </c>
      <c r="K910" t="str">
        <f>"SGCCS"</f>
        <v>SGCCS</v>
      </c>
      <c r="L910" t="str">
        <f>"DYRBS"</f>
        <v>DYRBS</v>
      </c>
      <c r="M910">
        <v>22</v>
      </c>
      <c r="N910">
        <v>331523010</v>
      </c>
      <c r="O910" t="str">
        <f t="shared" si="344"/>
        <v>次</v>
      </c>
      <c r="P910" t="str">
        <f t="shared" si="339"/>
        <v>手术费</v>
      </c>
    </row>
    <row r="911" spans="1:16">
      <c r="A911" t="str">
        <f>"各部位多头带包扎术"</f>
        <v>各部位多头带包扎术</v>
      </c>
      <c r="B911">
        <v>331523011</v>
      </c>
      <c r="C911" t="str">
        <f t="shared" si="345"/>
        <v>其他</v>
      </c>
      <c r="D911" t="str">
        <f>"003315230110000"</f>
        <v>003315230110000</v>
      </c>
      <c r="G911">
        <v>27</v>
      </c>
      <c r="I911" t="str">
        <f>"每个部位"</f>
        <v>每个部位</v>
      </c>
      <c r="K911" t="str">
        <f>"GBWDTDBZS"</f>
        <v>GBWDTDBZS</v>
      </c>
      <c r="L911" t="str">
        <f>"TUWQUGQRS"</f>
        <v>TUWQUGQRS</v>
      </c>
      <c r="M911">
        <v>27</v>
      </c>
      <c r="N911">
        <v>331523011</v>
      </c>
      <c r="O911" t="str">
        <f>"每个部位"</f>
        <v>每个部位</v>
      </c>
      <c r="P911" t="str">
        <f>"治疗费"</f>
        <v>治疗费</v>
      </c>
    </row>
    <row r="912" spans="1:16">
      <c r="A912" t="str">
        <f>"乳腺肿物切除术"</f>
        <v>乳腺肿物切除术</v>
      </c>
      <c r="B912">
        <v>331601002</v>
      </c>
      <c r="C912" t="str">
        <f t="shared" ref="C912:C923" si="346">"手术"</f>
        <v>手术</v>
      </c>
      <c r="D912" t="str">
        <f>"003316010020000"</f>
        <v>003316010020000</v>
      </c>
      <c r="G912">
        <v>324</v>
      </c>
      <c r="I912" t="str">
        <f>"单侧"</f>
        <v>单侧</v>
      </c>
      <c r="K912" t="str">
        <f>"RXZWQCS"</f>
        <v>RXZWQCS</v>
      </c>
      <c r="L912" t="str">
        <f>"EEETABS"</f>
        <v>EEETABS</v>
      </c>
      <c r="M912">
        <v>360</v>
      </c>
      <c r="N912">
        <v>331601002</v>
      </c>
      <c r="O912" t="str">
        <f>"单侧"</f>
        <v>单侧</v>
      </c>
      <c r="P912" t="str">
        <f t="shared" ref="P912:P923" si="347">"手术费"</f>
        <v>手术费</v>
      </c>
    </row>
    <row r="913" spans="1:16">
      <c r="A913" t="str">
        <f>"脓肿切开引流术"</f>
        <v>脓肿切开引流术</v>
      </c>
      <c r="B913">
        <v>331602001</v>
      </c>
      <c r="C913" t="str">
        <f t="shared" si="346"/>
        <v>手术</v>
      </c>
      <c r="D913" t="str">
        <f>"003316020010000"</f>
        <v>003316020010000</v>
      </c>
      <c r="G913">
        <v>97</v>
      </c>
      <c r="I913" t="str">
        <f t="shared" ref="I913:I921" si="348">"次"</f>
        <v>次</v>
      </c>
      <c r="K913" t="str">
        <f>"NZQKYLS"</f>
        <v>NZQKYLS</v>
      </c>
      <c r="L913" t="str">
        <f>"EEAGXIS"</f>
        <v>EEAGXIS</v>
      </c>
      <c r="M913">
        <v>108</v>
      </c>
      <c r="N913">
        <v>331602001</v>
      </c>
      <c r="O913" t="str">
        <f>"次"</f>
        <v>次</v>
      </c>
      <c r="P913" t="str">
        <f t="shared" si="347"/>
        <v>手术费</v>
      </c>
    </row>
    <row r="914" spans="1:16">
      <c r="A914" t="str">
        <f>"皮脂腺囊肿切除术"</f>
        <v>皮脂腺囊肿切除术</v>
      </c>
      <c r="B914" t="str">
        <f>"331602004-2"</f>
        <v>331602004-2</v>
      </c>
      <c r="C914" t="str">
        <f t="shared" si="345"/>
        <v>其他</v>
      </c>
      <c r="D914" t="str">
        <f t="shared" ref="D914:D917" si="349">"003316020040000"</f>
        <v>003316020040000</v>
      </c>
      <c r="G914">
        <v>108</v>
      </c>
      <c r="I914" t="str">
        <f t="shared" si="348"/>
        <v>次</v>
      </c>
      <c r="K914" t="str">
        <f>"PZXNZQCS"</f>
        <v>PZXNZQCS</v>
      </c>
      <c r="L914" t="str">
        <f>"HEEGEABS"</f>
        <v>HEEGEABS</v>
      </c>
      <c r="M914">
        <v>120</v>
      </c>
      <c r="N914">
        <v>331602004</v>
      </c>
      <c r="O914" t="str">
        <f t="shared" ref="O914:O917" si="350">"每个 肿物"</f>
        <v>每个 肿物</v>
      </c>
      <c r="P914" t="str">
        <f>"手术治疗费"</f>
        <v>手术治疗费</v>
      </c>
    </row>
    <row r="915" spans="1:16">
      <c r="A915" t="str">
        <f>"纤维瘤切除术"</f>
        <v>纤维瘤切除术</v>
      </c>
      <c r="B915" t="str">
        <f>"331602004-3"</f>
        <v>331602004-3</v>
      </c>
      <c r="C915" t="str">
        <f t="shared" si="346"/>
        <v>手术</v>
      </c>
      <c r="D915" t="str">
        <f t="shared" si="349"/>
        <v>003316020040000</v>
      </c>
      <c r="G915">
        <v>108</v>
      </c>
      <c r="I915" t="str">
        <f t="shared" si="348"/>
        <v>次</v>
      </c>
      <c r="K915" t="str">
        <f>"XWLQCS"</f>
        <v>XWLQCS</v>
      </c>
      <c r="L915" t="str">
        <f>"XXUABS"</f>
        <v>XXUABS</v>
      </c>
      <c r="M915">
        <v>120</v>
      </c>
      <c r="N915">
        <v>331602004</v>
      </c>
      <c r="O915" t="str">
        <f t="shared" si="350"/>
        <v>每个 肿物</v>
      </c>
      <c r="P915" t="str">
        <f t="shared" si="347"/>
        <v>手术费</v>
      </c>
    </row>
    <row r="916" spans="1:16">
      <c r="A916" t="str">
        <f>"疣切除术"</f>
        <v>疣切除术</v>
      </c>
      <c r="B916" t="str">
        <f>"331602004-4"</f>
        <v>331602004-4</v>
      </c>
      <c r="C916" t="str">
        <f t="shared" si="346"/>
        <v>手术</v>
      </c>
      <c r="D916" t="str">
        <f t="shared" si="349"/>
        <v>003316020040000</v>
      </c>
      <c r="G916">
        <v>108</v>
      </c>
      <c r="I916" t="str">
        <f t="shared" si="348"/>
        <v>次</v>
      </c>
      <c r="K916" t="str">
        <f>"YQCS"</f>
        <v>YQCS</v>
      </c>
      <c r="L916" t="str">
        <f>"UABS"</f>
        <v>UABS</v>
      </c>
      <c r="M916">
        <v>120</v>
      </c>
      <c r="N916">
        <v>331602004</v>
      </c>
      <c r="O916" t="str">
        <f t="shared" si="350"/>
        <v>每个 肿物</v>
      </c>
      <c r="P916" t="str">
        <f t="shared" si="347"/>
        <v>手术费</v>
      </c>
    </row>
    <row r="917" spans="1:16">
      <c r="A917" t="str">
        <f>"痣切除术"</f>
        <v>痣切除术</v>
      </c>
      <c r="B917" t="str">
        <f>"331602004-5"</f>
        <v>331602004-5</v>
      </c>
      <c r="C917" t="str">
        <f t="shared" si="346"/>
        <v>手术</v>
      </c>
      <c r="D917" t="str">
        <f t="shared" si="349"/>
        <v>003316020040000</v>
      </c>
      <c r="G917">
        <v>120</v>
      </c>
      <c r="I917" t="str">
        <f t="shared" si="348"/>
        <v>次</v>
      </c>
      <c r="K917" t="str">
        <f>"ZQCS"</f>
        <v>ZQCS</v>
      </c>
      <c r="L917" t="str">
        <f>"UABS"</f>
        <v>UABS</v>
      </c>
      <c r="M917">
        <v>120</v>
      </c>
      <c r="N917">
        <v>331602004</v>
      </c>
      <c r="O917" t="str">
        <f t="shared" si="350"/>
        <v>每个 肿物</v>
      </c>
      <c r="P917" t="str">
        <f t="shared" si="347"/>
        <v>手术费</v>
      </c>
    </row>
    <row r="918" spans="1:16">
      <c r="A918" t="str">
        <f>"海绵状血管瘤切除术(大)"</f>
        <v>海绵状血管瘤切除术(大)</v>
      </c>
      <c r="B918">
        <v>331602005</v>
      </c>
      <c r="C918" t="str">
        <f t="shared" si="346"/>
        <v>手术</v>
      </c>
      <c r="D918" t="str">
        <f>"003316020050000"</f>
        <v>003316020050000</v>
      </c>
      <c r="G918">
        <v>1080</v>
      </c>
      <c r="I918" t="str">
        <f t="shared" si="348"/>
        <v>次</v>
      </c>
      <c r="K918" t="str">
        <f>"HMZXGLQCS(D)"</f>
        <v>HMZXGLQCS(D)</v>
      </c>
      <c r="L918" t="str">
        <f>"IXUTTUABS(D)"</f>
        <v>IXUTTUABS(D)</v>
      </c>
      <c r="M918">
        <v>1210</v>
      </c>
      <c r="N918">
        <v>331602005</v>
      </c>
      <c r="O918" t="str">
        <f t="shared" ref="O918:O921" si="351">"次"</f>
        <v>次</v>
      </c>
      <c r="P918" t="str">
        <f t="shared" si="347"/>
        <v>手术费</v>
      </c>
    </row>
    <row r="919" spans="1:16">
      <c r="A919" t="str">
        <f>"海绵状血管瘤切除术(中)"</f>
        <v>海绵状血管瘤切除术(中)</v>
      </c>
      <c r="B919">
        <v>331602006</v>
      </c>
      <c r="C919" t="str">
        <f t="shared" si="346"/>
        <v>手术</v>
      </c>
      <c r="D919" t="str">
        <f>"003316020060000"</f>
        <v>003316020060000</v>
      </c>
      <c r="G919">
        <v>972</v>
      </c>
      <c r="I919" t="str">
        <f t="shared" si="348"/>
        <v>次</v>
      </c>
      <c r="K919" t="str">
        <f>"HMZXGLQCS(Z)"</f>
        <v>HMZXGLQCS(Z)</v>
      </c>
      <c r="L919" t="str">
        <f>"IXUTTUABS(K)"</f>
        <v>IXUTTUABS(K)</v>
      </c>
      <c r="M919">
        <v>1090</v>
      </c>
      <c r="N919">
        <v>331602006</v>
      </c>
      <c r="O919" t="str">
        <f t="shared" si="351"/>
        <v>次</v>
      </c>
      <c r="P919" t="str">
        <f t="shared" si="347"/>
        <v>手术费</v>
      </c>
    </row>
    <row r="920" spans="1:16">
      <c r="A920" t="str">
        <f>"海绵状血管瘤切除术(小)"</f>
        <v>海绵状血管瘤切除术(小)</v>
      </c>
      <c r="B920">
        <v>331602007</v>
      </c>
      <c r="C920" t="str">
        <f t="shared" si="346"/>
        <v>手术</v>
      </c>
      <c r="D920" t="str">
        <f>"003316020070000"</f>
        <v>003316020070000</v>
      </c>
      <c r="G920">
        <v>648</v>
      </c>
      <c r="I920" t="str">
        <f t="shared" si="348"/>
        <v>次</v>
      </c>
      <c r="K920" t="str">
        <f>"HMZXGLQCS(X)"</f>
        <v>HMZXGLQCS(X)</v>
      </c>
      <c r="L920" t="str">
        <f>"IXUTTUABS(I)"</f>
        <v>IXUTTUABS(I)</v>
      </c>
      <c r="M920">
        <v>725</v>
      </c>
      <c r="N920">
        <v>331602007</v>
      </c>
      <c r="O920" t="str">
        <f t="shared" si="351"/>
        <v>次</v>
      </c>
      <c r="P920" t="str">
        <f t="shared" si="347"/>
        <v>手术费</v>
      </c>
    </row>
    <row r="921" spans="1:16">
      <c r="A921" t="str">
        <f>"海绵状血管瘤切除术(小)需植皮术加收"</f>
        <v>海绵状血管瘤切除术(小)需植皮术加收</v>
      </c>
      <c r="B921" t="str">
        <f>"331602007-a"</f>
        <v>331602007-a</v>
      </c>
      <c r="C921" t="str">
        <f t="shared" si="346"/>
        <v>手术</v>
      </c>
      <c r="D921" t="str">
        <f>"003316020070001"</f>
        <v>003316020070001</v>
      </c>
      <c r="G921">
        <v>150</v>
      </c>
      <c r="I921" t="str">
        <f t="shared" si="348"/>
        <v>次</v>
      </c>
      <c r="K921" t="str">
        <f>"HMZXGLQCS(X)XZPSJS"</f>
        <v>HMZXGLQCS(X)XZPSJS</v>
      </c>
      <c r="L921" t="str">
        <f>"IXUTTUABS(I)FSHSLN"</f>
        <v>IXUTTUABS(I)FSHSLN</v>
      </c>
      <c r="M921">
        <v>150</v>
      </c>
      <c r="N921" t="str">
        <f>"331602007-a"</f>
        <v>331602007-a</v>
      </c>
      <c r="O921" t="str">
        <f t="shared" si="351"/>
        <v>次</v>
      </c>
      <c r="P921" t="str">
        <f t="shared" si="347"/>
        <v>手术费</v>
      </c>
    </row>
    <row r="922" spans="1:16">
      <c r="A922" t="str">
        <f>"腋臭切除术"</f>
        <v>腋臭切除术</v>
      </c>
      <c r="B922">
        <v>331602011</v>
      </c>
      <c r="C922" t="str">
        <f t="shared" si="346"/>
        <v>手术</v>
      </c>
      <c r="D922" t="str">
        <f>"003316020110000"</f>
        <v>003316020110000</v>
      </c>
      <c r="G922">
        <v>284</v>
      </c>
      <c r="I922" t="str">
        <f>"单侧"</f>
        <v>单侧</v>
      </c>
      <c r="K922" t="str">
        <f>"YCQCS"</f>
        <v>YCQCS</v>
      </c>
      <c r="L922" t="str">
        <f>"ETABS"</f>
        <v>ETABS</v>
      </c>
      <c r="M922">
        <v>310</v>
      </c>
      <c r="N922">
        <v>331602011</v>
      </c>
      <c r="O922" t="str">
        <f>"单侧"</f>
        <v>单侧</v>
      </c>
      <c r="P922" t="str">
        <f t="shared" si="347"/>
        <v>手术费</v>
      </c>
    </row>
    <row r="923" spans="1:16">
      <c r="A923" t="str">
        <f>"疤痕松解术"</f>
        <v>疤痕松解术</v>
      </c>
      <c r="B923">
        <v>331604035</v>
      </c>
      <c r="C923" t="str">
        <f t="shared" si="346"/>
        <v>手术</v>
      </c>
      <c r="D923" t="str">
        <f>"323316040350000"</f>
        <v>323316040350000</v>
      </c>
      <c r="G923">
        <v>324</v>
      </c>
      <c r="I923" t="str">
        <f t="shared" ref="I923:I930" si="352">"次"</f>
        <v>次</v>
      </c>
      <c r="K923" t="str">
        <f>"BHSJS"</f>
        <v>BHSJS</v>
      </c>
      <c r="L923" t="str">
        <f>"UUSQS"</f>
        <v>UUSQS</v>
      </c>
      <c r="M923">
        <v>360</v>
      </c>
      <c r="N923">
        <v>331604035</v>
      </c>
      <c r="O923" t="str">
        <f t="shared" ref="O923:O928" si="353">"次"</f>
        <v>次</v>
      </c>
      <c r="P923" t="str">
        <f t="shared" si="347"/>
        <v>手术费</v>
      </c>
    </row>
    <row r="924" spans="1:16">
      <c r="A924" t="str">
        <f>"红外线治疗"</f>
        <v>红外线治疗</v>
      </c>
      <c r="B924">
        <v>340100001</v>
      </c>
      <c r="C924" t="str">
        <f>"治疗"</f>
        <v>治疗</v>
      </c>
      <c r="D924" t="str">
        <f>"003401000010000"</f>
        <v>003401000010000</v>
      </c>
      <c r="G924">
        <v>7</v>
      </c>
      <c r="I924" t="str">
        <f t="shared" si="352"/>
        <v>次</v>
      </c>
      <c r="K924" t="str">
        <f>"HWXZL"</f>
        <v>HWXZL</v>
      </c>
      <c r="L924" t="str">
        <f>"XQXIU"</f>
        <v>XQXIU</v>
      </c>
      <c r="M924">
        <v>7</v>
      </c>
      <c r="N924">
        <v>340100001</v>
      </c>
      <c r="O924" t="str">
        <f>"每部位"</f>
        <v>每部位</v>
      </c>
      <c r="P924" t="str">
        <f t="shared" ref="P924:P941" si="354">"治疗费"</f>
        <v>治疗费</v>
      </c>
    </row>
    <row r="925" spans="1:16">
      <c r="A925" t="str">
        <f>"高光功率光子治疗"</f>
        <v>高光功率光子治疗</v>
      </c>
      <c r="B925" t="str">
        <f>"340100001-a"</f>
        <v>340100001-a</v>
      </c>
      <c r="C925" t="str">
        <f t="shared" ref="C925:C933" si="355">"其他"</f>
        <v>其他</v>
      </c>
      <c r="G925">
        <v>18</v>
      </c>
      <c r="I925" t="str">
        <f t="shared" si="352"/>
        <v>次</v>
      </c>
      <c r="K925" t="str">
        <f>"GGGLGZZL"</f>
        <v>GGGLGZZL</v>
      </c>
      <c r="L925" t="str">
        <f>"YIAYIBIU"</f>
        <v>YIAYIBIU</v>
      </c>
      <c r="M925">
        <v>18</v>
      </c>
      <c r="N925" t="str">
        <f>"340100001-a"</f>
        <v>340100001-a</v>
      </c>
      <c r="O925" t="str">
        <f t="shared" si="353"/>
        <v>次</v>
      </c>
      <c r="P925" t="str">
        <f t="shared" si="354"/>
        <v>治疗费</v>
      </c>
    </row>
    <row r="926" spans="1:16">
      <c r="A926" t="str">
        <f>"可见光治疗"</f>
        <v>可见光治疗</v>
      </c>
      <c r="B926">
        <v>340100002</v>
      </c>
      <c r="C926" t="str">
        <f t="shared" si="355"/>
        <v>其他</v>
      </c>
      <c r="D926" t="str">
        <f>"003401000020000"</f>
        <v>003401000020000</v>
      </c>
      <c r="G926">
        <v>7</v>
      </c>
      <c r="I926" t="str">
        <f t="shared" si="352"/>
        <v>次</v>
      </c>
      <c r="K926" t="str">
        <f>"KJGZL"</f>
        <v>KJGZL</v>
      </c>
      <c r="L926" t="str">
        <f>"SMIIU"</f>
        <v>SMIIU</v>
      </c>
      <c r="M926">
        <v>7</v>
      </c>
      <c r="N926">
        <v>340100002</v>
      </c>
      <c r="O926" t="str">
        <f t="shared" si="353"/>
        <v>次</v>
      </c>
      <c r="P926" t="str">
        <f t="shared" si="354"/>
        <v>治疗费</v>
      </c>
    </row>
    <row r="927" spans="1:16">
      <c r="A927" t="str">
        <f>"偏振光照射"</f>
        <v>偏振光照射</v>
      </c>
      <c r="B927">
        <v>340100003</v>
      </c>
      <c r="C927" t="str">
        <f t="shared" si="355"/>
        <v>其他</v>
      </c>
      <c r="D927" t="str">
        <f>"003401000030000"</f>
        <v>003401000030000</v>
      </c>
      <c r="G927">
        <v>8</v>
      </c>
      <c r="I927" t="str">
        <f t="shared" si="352"/>
        <v>次</v>
      </c>
      <c r="K927" t="str">
        <f>"PZGZS"</f>
        <v>PZGZS</v>
      </c>
      <c r="L927" t="str">
        <f>"WRIJT"</f>
        <v>WRIJT</v>
      </c>
      <c r="M927">
        <v>8</v>
      </c>
      <c r="N927">
        <v>340100003</v>
      </c>
      <c r="O927" t="str">
        <f t="shared" si="353"/>
        <v>次</v>
      </c>
      <c r="P927" t="str">
        <f t="shared" si="354"/>
        <v>治疗费</v>
      </c>
    </row>
    <row r="928" spans="1:16">
      <c r="A928" t="str">
        <f>"紫外线治疗"</f>
        <v>紫外线治疗</v>
      </c>
      <c r="B928">
        <v>340100004</v>
      </c>
      <c r="C928" t="str">
        <f t="shared" si="355"/>
        <v>其他</v>
      </c>
      <c r="D928" t="str">
        <f>"003401000040000"</f>
        <v>003401000040000</v>
      </c>
      <c r="G928">
        <v>10</v>
      </c>
      <c r="I928" t="str">
        <f t="shared" si="352"/>
        <v>次</v>
      </c>
      <c r="K928" t="str">
        <f>"ZWXZL"</f>
        <v>ZWXZL</v>
      </c>
      <c r="L928" t="str">
        <f>"HQXIU"</f>
        <v>HQXIU</v>
      </c>
      <c r="M928">
        <v>10</v>
      </c>
      <c r="N928">
        <v>340100004</v>
      </c>
      <c r="O928" t="str">
        <f t="shared" si="353"/>
        <v>次</v>
      </c>
      <c r="P928" t="str">
        <f t="shared" si="354"/>
        <v>治疗费</v>
      </c>
    </row>
    <row r="929" spans="1:16">
      <c r="A929" t="str">
        <f>"激光疗法"</f>
        <v>激光疗法</v>
      </c>
      <c r="B929">
        <v>340100005</v>
      </c>
      <c r="C929" t="str">
        <f t="shared" si="355"/>
        <v>其他</v>
      </c>
      <c r="D929" t="str">
        <f>"003401000050000"</f>
        <v>003401000050000</v>
      </c>
      <c r="G929">
        <v>12</v>
      </c>
      <c r="I929" t="str">
        <f t="shared" si="352"/>
        <v>次</v>
      </c>
      <c r="K929" t="str">
        <f>"JGLF"</f>
        <v>JGLF</v>
      </c>
      <c r="L929" t="str">
        <f>"IIUI"</f>
        <v>IIUI</v>
      </c>
      <c r="M929">
        <v>12</v>
      </c>
      <c r="N929">
        <v>340100005</v>
      </c>
      <c r="O929" t="str">
        <f t="shared" ref="O929:O935" si="356">"每部位"</f>
        <v>每部位</v>
      </c>
      <c r="P929" t="str">
        <f t="shared" si="354"/>
        <v>治疗费</v>
      </c>
    </row>
    <row r="930" spans="1:16">
      <c r="A930" t="str">
        <f>"光敏疗法"</f>
        <v>光敏疗法</v>
      </c>
      <c r="B930">
        <v>340100006</v>
      </c>
      <c r="C930" t="str">
        <f t="shared" si="355"/>
        <v>其他</v>
      </c>
      <c r="D930" t="str">
        <f>"003401000060000"</f>
        <v>003401000060000</v>
      </c>
      <c r="G930">
        <v>10</v>
      </c>
      <c r="I930" t="str">
        <f t="shared" si="352"/>
        <v>次</v>
      </c>
      <c r="K930" t="str">
        <f>"GMLF"</f>
        <v>GMLF</v>
      </c>
      <c r="L930" t="str">
        <f>"ITUI"</f>
        <v>ITUI</v>
      </c>
      <c r="M930">
        <v>10</v>
      </c>
      <c r="N930">
        <v>340100006</v>
      </c>
      <c r="O930" t="str">
        <f>"次"</f>
        <v>次</v>
      </c>
      <c r="P930" t="str">
        <f t="shared" si="354"/>
        <v>治疗费</v>
      </c>
    </row>
    <row r="931" spans="1:16">
      <c r="A931" t="str">
        <f>"电诊断"</f>
        <v>电诊断</v>
      </c>
      <c r="B931">
        <v>340100007</v>
      </c>
      <c r="C931" t="str">
        <f t="shared" si="355"/>
        <v>其他</v>
      </c>
      <c r="D931" t="str">
        <f>"003401000070000"</f>
        <v>003401000070000</v>
      </c>
      <c r="G931">
        <v>15</v>
      </c>
      <c r="I931" t="str">
        <f>"根"</f>
        <v>根</v>
      </c>
      <c r="K931" t="str">
        <f>"DZD"</f>
        <v>DZD</v>
      </c>
      <c r="L931" t="str">
        <f>"JYO"</f>
        <v>JYO</v>
      </c>
      <c r="M931">
        <v>15</v>
      </c>
      <c r="N931">
        <v>340100007</v>
      </c>
      <c r="O931" t="str">
        <f>"每根"</f>
        <v>每根</v>
      </c>
      <c r="P931" t="str">
        <f t="shared" si="354"/>
        <v>治疗费</v>
      </c>
    </row>
    <row r="932" spans="1:16">
      <c r="A932" t="str">
        <f>"直流电治疗"</f>
        <v>直流电治疗</v>
      </c>
      <c r="B932">
        <v>340100008</v>
      </c>
      <c r="C932" t="str">
        <f t="shared" si="355"/>
        <v>其他</v>
      </c>
      <c r="D932" t="str">
        <f>"003401000080000"</f>
        <v>003401000080000</v>
      </c>
      <c r="G932">
        <v>12</v>
      </c>
      <c r="I932" t="str">
        <f t="shared" ref="I932:I934" si="357">"每部位"</f>
        <v>每部位</v>
      </c>
      <c r="K932" t="str">
        <f>"ZLDZL"</f>
        <v>ZLDZL</v>
      </c>
      <c r="L932" t="str">
        <f>"FIJIU"</f>
        <v>FIJIU</v>
      </c>
      <c r="M932">
        <v>12</v>
      </c>
      <c r="N932">
        <v>340100008</v>
      </c>
      <c r="O932" t="str">
        <f t="shared" si="356"/>
        <v>每部位</v>
      </c>
      <c r="P932" t="str">
        <f t="shared" si="354"/>
        <v>治疗费</v>
      </c>
    </row>
    <row r="933" spans="1:16">
      <c r="A933" t="str">
        <f>"低频脉冲功能性电刺激治疗"</f>
        <v>低频脉冲功能性电刺激治疗</v>
      </c>
      <c r="B933">
        <v>340100009</v>
      </c>
      <c r="C933" t="str">
        <f t="shared" si="355"/>
        <v>其他</v>
      </c>
      <c r="D933" t="str">
        <f>"003401000090000"</f>
        <v>003401000090000</v>
      </c>
      <c r="G933">
        <v>10</v>
      </c>
      <c r="I933" t="str">
        <f t="shared" si="357"/>
        <v>每部位</v>
      </c>
      <c r="K933" t="str">
        <f>"DPMCGNXDCJZL"</f>
        <v>DPMCGNXDCJZL</v>
      </c>
      <c r="L933" t="str">
        <f>"WHEUACNJGIIU"</f>
        <v>WHEUACNJGIIU</v>
      </c>
      <c r="M933">
        <v>10</v>
      </c>
      <c r="N933">
        <v>340100009</v>
      </c>
      <c r="O933" t="str">
        <f t="shared" si="356"/>
        <v>每部位</v>
      </c>
      <c r="P933" t="str">
        <f t="shared" si="354"/>
        <v>治疗费</v>
      </c>
    </row>
    <row r="934" spans="1:16">
      <c r="A934" t="str">
        <f>"低频脉冲电治疗"</f>
        <v>低频脉冲电治疗</v>
      </c>
      <c r="B934" t="str">
        <f>"340100009-1"</f>
        <v>340100009-1</v>
      </c>
      <c r="C934" t="str">
        <f>"治疗"</f>
        <v>治疗</v>
      </c>
      <c r="D934" t="str">
        <f>"003401000090000"</f>
        <v>003401000090000</v>
      </c>
      <c r="G934">
        <v>10</v>
      </c>
      <c r="I934" t="str">
        <f t="shared" si="357"/>
        <v>每部位</v>
      </c>
      <c r="K934" t="str">
        <f>"DPMCDZL"</f>
        <v>DPMCDZL</v>
      </c>
      <c r="L934" t="str">
        <f>"WHEUJIU"</f>
        <v>WHEUJIU</v>
      </c>
      <c r="M934">
        <v>10</v>
      </c>
      <c r="N934">
        <v>340100009</v>
      </c>
      <c r="O934" t="str">
        <f t="shared" si="356"/>
        <v>每部位</v>
      </c>
      <c r="P934" t="str">
        <f t="shared" si="354"/>
        <v>治疗费</v>
      </c>
    </row>
    <row r="935" spans="1:16">
      <c r="A935" t="str">
        <f>"中频脉冲电治疗"</f>
        <v>中频脉冲电治疗</v>
      </c>
      <c r="B935">
        <v>340100010</v>
      </c>
      <c r="C935" t="str">
        <f>"治疗"</f>
        <v>治疗</v>
      </c>
      <c r="D935" t="str">
        <f>"003401000100000"</f>
        <v>003401000100000</v>
      </c>
      <c r="G935">
        <v>10</v>
      </c>
      <c r="I935" t="str">
        <f>"部位"</f>
        <v>部位</v>
      </c>
      <c r="K935" t="str">
        <f>"ZPMCDZL"</f>
        <v>ZPMCDZL</v>
      </c>
      <c r="L935" t="str">
        <f>"KHEUJIU"</f>
        <v>KHEUJIU</v>
      </c>
      <c r="M935">
        <v>10</v>
      </c>
      <c r="N935">
        <v>340100010</v>
      </c>
      <c r="O935" t="str">
        <f t="shared" si="356"/>
        <v>每部位</v>
      </c>
      <c r="P935" t="str">
        <f t="shared" si="354"/>
        <v>治疗费</v>
      </c>
    </row>
    <row r="936" spans="1:16">
      <c r="A936" t="str">
        <f>"共鸣火花治疗"</f>
        <v>共鸣火花治疗</v>
      </c>
      <c r="B936">
        <v>340100011</v>
      </c>
      <c r="C936" t="str">
        <f t="shared" ref="C936:C941" si="358">"其他"</f>
        <v>其他</v>
      </c>
      <c r="D936" t="str">
        <f>"003401000110000"</f>
        <v>003401000110000</v>
      </c>
      <c r="G936">
        <v>5</v>
      </c>
      <c r="I936" t="str">
        <f t="shared" ref="I936:I945" si="359">"次"</f>
        <v>次</v>
      </c>
      <c r="K936" t="str">
        <f>"GMHHZL"</f>
        <v>GMHHZL</v>
      </c>
      <c r="L936" t="str">
        <f>"AKOAIU"</f>
        <v>AKOAIU</v>
      </c>
      <c r="M936">
        <v>5</v>
      </c>
      <c r="N936">
        <v>340100011</v>
      </c>
      <c r="O936" t="str">
        <f>"次"</f>
        <v>次</v>
      </c>
      <c r="P936" t="str">
        <f t="shared" si="354"/>
        <v>治疗费</v>
      </c>
    </row>
    <row r="937" spans="1:16">
      <c r="A937" t="str">
        <f>"超短波治疗"</f>
        <v>超短波治疗</v>
      </c>
      <c r="B937">
        <v>340100012</v>
      </c>
      <c r="C937" t="str">
        <f t="shared" si="358"/>
        <v>其他</v>
      </c>
      <c r="D937" t="str">
        <f>"003401000120000"</f>
        <v>003401000120000</v>
      </c>
      <c r="G937">
        <v>10</v>
      </c>
      <c r="I937" t="str">
        <f>"部位"</f>
        <v>部位</v>
      </c>
      <c r="K937" t="str">
        <f>"CDBZL"</f>
        <v>CDBZL</v>
      </c>
      <c r="M937">
        <v>10</v>
      </c>
      <c r="N937">
        <v>340100012</v>
      </c>
      <c r="O937" t="str">
        <f>"每个 部位"</f>
        <v>每个 部位</v>
      </c>
      <c r="P937" t="str">
        <f t="shared" si="354"/>
        <v>治疗费</v>
      </c>
    </row>
    <row r="938" spans="1:16">
      <c r="A938" t="str">
        <f>"微波治疗"</f>
        <v>微波治疗</v>
      </c>
      <c r="B938">
        <v>340100013</v>
      </c>
      <c r="C938" t="str">
        <f t="shared" si="358"/>
        <v>其他</v>
      </c>
      <c r="D938" t="str">
        <f>"003401000130000"</f>
        <v>003401000130000</v>
      </c>
      <c r="G938">
        <v>12</v>
      </c>
      <c r="I938" t="str">
        <f>"每部位"</f>
        <v>每部位</v>
      </c>
      <c r="K938" t="str">
        <f>"WBZL"</f>
        <v>WBZL</v>
      </c>
      <c r="L938" t="str">
        <f>"TIIU"</f>
        <v>TIIU</v>
      </c>
      <c r="M938">
        <v>12</v>
      </c>
      <c r="N938">
        <v>340100013</v>
      </c>
      <c r="O938" t="str">
        <f>"每部位"</f>
        <v>每部位</v>
      </c>
      <c r="P938" t="str">
        <f t="shared" si="354"/>
        <v>治疗费</v>
      </c>
    </row>
    <row r="939" spans="1:16">
      <c r="A939" t="str">
        <f>"静电治疗"</f>
        <v>静电治疗</v>
      </c>
      <c r="B939">
        <v>340100015</v>
      </c>
      <c r="C939" t="str">
        <f t="shared" si="358"/>
        <v>其他</v>
      </c>
      <c r="D939" t="str">
        <f>"003401000150000"</f>
        <v>003401000150000</v>
      </c>
      <c r="G939">
        <v>20</v>
      </c>
      <c r="I939" t="str">
        <f>"半小时"</f>
        <v>半小时</v>
      </c>
      <c r="K939" t="str">
        <f>"JDZL"</f>
        <v>JDZL</v>
      </c>
      <c r="L939" t="str">
        <f>"GJIU"</f>
        <v>GJIU</v>
      </c>
      <c r="M939">
        <v>20</v>
      </c>
      <c r="N939">
        <v>340100015</v>
      </c>
      <c r="O939" t="str">
        <f>"半小时"</f>
        <v>半小时</v>
      </c>
      <c r="P939" t="str">
        <f t="shared" si="354"/>
        <v>治疗费</v>
      </c>
    </row>
    <row r="940" spans="1:16">
      <c r="A940" t="str">
        <f>"空气负离子治疗"</f>
        <v>空气负离子治疗</v>
      </c>
      <c r="B940">
        <v>340100016</v>
      </c>
      <c r="C940" t="str">
        <f t="shared" si="358"/>
        <v>其他</v>
      </c>
      <c r="D940" t="str">
        <f>"003401000160000"</f>
        <v>003401000160000</v>
      </c>
      <c r="G940">
        <v>3</v>
      </c>
      <c r="I940" t="str">
        <f t="shared" si="359"/>
        <v>次</v>
      </c>
      <c r="K940" t="str">
        <f>"KQFLZZL"</f>
        <v>KQFLZZL</v>
      </c>
      <c r="L940" t="str">
        <f>"PRQYBIU"</f>
        <v>PRQYBIU</v>
      </c>
      <c r="M940">
        <v>3</v>
      </c>
      <c r="N940">
        <v>340100016</v>
      </c>
      <c r="O940" t="str">
        <f t="shared" ref="O940:O946" si="360">"次"</f>
        <v>次</v>
      </c>
      <c r="P940" t="str">
        <f t="shared" si="354"/>
        <v>治疗费</v>
      </c>
    </row>
    <row r="941" spans="1:16">
      <c r="A941" t="str">
        <f>"超声波治疗"</f>
        <v>超声波治疗</v>
      </c>
      <c r="B941">
        <v>340100017</v>
      </c>
      <c r="C941" t="str">
        <f t="shared" si="358"/>
        <v>其他</v>
      </c>
      <c r="D941" t="str">
        <f>"003401000170000"</f>
        <v>003401000170000</v>
      </c>
      <c r="G941">
        <v>13</v>
      </c>
      <c r="I941" t="str">
        <f t="shared" si="359"/>
        <v>次</v>
      </c>
      <c r="K941" t="str">
        <f>"CSBZL"</f>
        <v>CSBZL</v>
      </c>
      <c r="L941" t="str">
        <f>"FFIIU"</f>
        <v>FFIIU</v>
      </c>
      <c r="M941">
        <v>13</v>
      </c>
      <c r="N941">
        <v>340100017</v>
      </c>
      <c r="O941" t="str">
        <f t="shared" ref="O941:O943" si="361">"每5分钟"</f>
        <v>每5分钟</v>
      </c>
      <c r="P941" t="str">
        <f t="shared" si="354"/>
        <v>治疗费</v>
      </c>
    </row>
    <row r="942" spans="1:16">
      <c r="A942" t="str">
        <f>"超声雾化治疗"</f>
        <v>超声雾化治疗</v>
      </c>
      <c r="B942" t="str">
        <f>"340100017-1"</f>
        <v>340100017-1</v>
      </c>
      <c r="C942" t="str">
        <f>"治疗"</f>
        <v>治疗</v>
      </c>
      <c r="D942" t="str">
        <f>"003401000170000"</f>
        <v>003401000170000</v>
      </c>
      <c r="G942">
        <v>12</v>
      </c>
      <c r="I942" t="str">
        <f t="shared" si="359"/>
        <v>次</v>
      </c>
      <c r="K942" t="str">
        <f>"CSWHZL"</f>
        <v>CSWHZL</v>
      </c>
      <c r="L942" t="str">
        <f>"FFFWIU"</f>
        <v>FFFWIU</v>
      </c>
      <c r="M942">
        <v>12</v>
      </c>
      <c r="N942">
        <v>340100017</v>
      </c>
      <c r="O942" t="str">
        <f t="shared" si="361"/>
        <v>每5分钟</v>
      </c>
      <c r="P942" t="str">
        <f>"治疗费(含材料费)"</f>
        <v>治疗费(含材料费)</v>
      </c>
    </row>
    <row r="943" spans="1:16">
      <c r="A943" t="str">
        <f>"超声波治疗联合治疗加收（每5分钟）"</f>
        <v>超声波治疗联合治疗加收（每5分钟）</v>
      </c>
      <c r="B943" t="str">
        <f>"340100017-a"</f>
        <v>340100017-a</v>
      </c>
      <c r="C943" t="str">
        <f t="shared" ref="C943:C945" si="362">"其他"</f>
        <v>其他</v>
      </c>
      <c r="D943" t="str">
        <f>"003401000170001"</f>
        <v>003401000170001</v>
      </c>
      <c r="G943">
        <v>5</v>
      </c>
      <c r="I943" t="str">
        <f t="shared" si="359"/>
        <v>次</v>
      </c>
      <c r="K943" t="str">
        <f>"CSBZLLHZLJSM5FZ"</f>
        <v>CSBZLLHZLJSM5FZ</v>
      </c>
      <c r="L943" t="str">
        <f>"FFIIUBWIULNT5WQ"</f>
        <v>FFIIUBWIULNT5WQ</v>
      </c>
      <c r="M943">
        <v>5</v>
      </c>
      <c r="N943" t="str">
        <f>"340100017-a"</f>
        <v>340100017-a</v>
      </c>
      <c r="O943" t="str">
        <f t="shared" si="361"/>
        <v>每5分钟</v>
      </c>
      <c r="P943" t="str">
        <f t="shared" ref="P943:P953" si="363">"治疗费"</f>
        <v>治疗费</v>
      </c>
    </row>
    <row r="944" spans="1:16">
      <c r="A944" t="str">
        <f>"电子生物反馈疗法"</f>
        <v>电子生物反馈疗法</v>
      </c>
      <c r="B944">
        <v>340100018</v>
      </c>
      <c r="C944" t="str">
        <f t="shared" si="362"/>
        <v>其他</v>
      </c>
      <c r="D944" t="str">
        <f>"003401000180000"</f>
        <v>003401000180000</v>
      </c>
      <c r="G944">
        <v>20</v>
      </c>
      <c r="I944" t="str">
        <f t="shared" si="359"/>
        <v>次</v>
      </c>
      <c r="K944" t="str">
        <f>"DZSWFKLF"</f>
        <v>DZSWFKLF</v>
      </c>
      <c r="L944" t="str">
        <f>"JBTTRQUI"</f>
        <v>JBTTRQUI</v>
      </c>
      <c r="M944">
        <v>23</v>
      </c>
      <c r="N944">
        <v>340100018</v>
      </c>
      <c r="O944" t="str">
        <f t="shared" si="360"/>
        <v>次</v>
      </c>
      <c r="P944" t="str">
        <f t="shared" si="363"/>
        <v>治疗费</v>
      </c>
    </row>
    <row r="945" spans="1:16">
      <c r="A945" t="str">
        <f>"磁疗"</f>
        <v>磁疗</v>
      </c>
      <c r="B945">
        <v>340100019</v>
      </c>
      <c r="C945" t="str">
        <f t="shared" si="362"/>
        <v>其他</v>
      </c>
      <c r="D945" t="str">
        <f>"003401000190000"</f>
        <v>003401000190000</v>
      </c>
      <c r="G945">
        <v>8</v>
      </c>
      <c r="I945" t="str">
        <f t="shared" si="359"/>
        <v>次</v>
      </c>
      <c r="K945" t="str">
        <f>"CL"</f>
        <v>CL</v>
      </c>
      <c r="L945" t="str">
        <f>"DU"</f>
        <v>DU</v>
      </c>
      <c r="M945">
        <v>8</v>
      </c>
      <c r="N945">
        <v>340100019</v>
      </c>
      <c r="O945" t="str">
        <f t="shared" si="360"/>
        <v>次</v>
      </c>
      <c r="P945" t="str">
        <f t="shared" si="363"/>
        <v>治疗费</v>
      </c>
    </row>
    <row r="946" spans="1:16">
      <c r="A946" t="str">
        <f>"气泡浴治疗"</f>
        <v>气泡浴治疗</v>
      </c>
      <c r="B946">
        <v>340100020</v>
      </c>
      <c r="C946" t="str">
        <f>"治疗"</f>
        <v>治疗</v>
      </c>
      <c r="D946" t="str">
        <f>"003401000200000"</f>
        <v>003401000200000</v>
      </c>
      <c r="G946">
        <v>15</v>
      </c>
      <c r="I946" t="str">
        <f>"每20分钟"</f>
        <v>每20分钟</v>
      </c>
      <c r="K946" t="str">
        <f>"QPYZL"</f>
        <v>QPYZL</v>
      </c>
      <c r="L946" t="str">
        <f>"RIIIU"</f>
        <v>RIIIU</v>
      </c>
      <c r="M946">
        <v>15</v>
      </c>
      <c r="N946">
        <v>340100020</v>
      </c>
      <c r="O946" t="str">
        <f t="shared" si="360"/>
        <v>次</v>
      </c>
      <c r="P946" t="str">
        <f t="shared" si="363"/>
        <v>治疗费</v>
      </c>
    </row>
    <row r="947" spans="1:16">
      <c r="A947" t="str">
        <f>"蜡疗"</f>
        <v>蜡疗</v>
      </c>
      <c r="B947">
        <v>340100021</v>
      </c>
      <c r="C947" t="str">
        <f t="shared" ref="C947:C953" si="364">"其他"</f>
        <v>其他</v>
      </c>
      <c r="D947" t="str">
        <f>"003401000210000"</f>
        <v>003401000210000</v>
      </c>
      <c r="G947">
        <v>7</v>
      </c>
      <c r="I947" t="str">
        <f t="shared" ref="I947:I950" si="365">"每部位"</f>
        <v>每部位</v>
      </c>
      <c r="K947" t="str">
        <f>"LL"</f>
        <v>LL</v>
      </c>
      <c r="L947" t="str">
        <f>"JU"</f>
        <v>JU</v>
      </c>
      <c r="M947">
        <v>7</v>
      </c>
      <c r="N947">
        <v>340100021</v>
      </c>
      <c r="O947" t="str">
        <f t="shared" ref="O947:O950" si="366">"每部位"</f>
        <v>每部位</v>
      </c>
      <c r="P947" t="str">
        <f t="shared" si="363"/>
        <v>治疗费</v>
      </c>
    </row>
    <row r="948" spans="1:16">
      <c r="A948" t="str">
        <f>"牵引"</f>
        <v>牵引</v>
      </c>
      <c r="B948">
        <v>340100023</v>
      </c>
      <c r="C948" t="str">
        <f t="shared" si="364"/>
        <v>其他</v>
      </c>
      <c r="D948" t="str">
        <f>"003401000230000"</f>
        <v>003401000230000</v>
      </c>
      <c r="G948">
        <v>35</v>
      </c>
      <c r="I948" t="str">
        <f t="shared" ref="I948:I968" si="367">"次"</f>
        <v>次</v>
      </c>
      <c r="K948" t="str">
        <f>"QY"</f>
        <v>QY</v>
      </c>
      <c r="L948" t="str">
        <f>"DX"</f>
        <v>DX</v>
      </c>
      <c r="M948">
        <v>35</v>
      </c>
      <c r="N948">
        <v>340100023</v>
      </c>
      <c r="O948" t="str">
        <f t="shared" ref="O948:O956" si="368">"次"</f>
        <v>次</v>
      </c>
      <c r="P948" t="str">
        <f t="shared" si="363"/>
        <v>治疗费</v>
      </c>
    </row>
    <row r="949" spans="1:16">
      <c r="A949" t="str">
        <f>"气压治疗"</f>
        <v>气压治疗</v>
      </c>
      <c r="B949">
        <v>340100024</v>
      </c>
      <c r="C949" t="str">
        <f t="shared" si="364"/>
        <v>其他</v>
      </c>
      <c r="D949" t="str">
        <f>"003401000240000"</f>
        <v>003401000240000</v>
      </c>
      <c r="G949">
        <v>10</v>
      </c>
      <c r="I949" t="str">
        <f t="shared" si="365"/>
        <v>每部位</v>
      </c>
      <c r="K949" t="str">
        <f>"QYZL"</f>
        <v>QYZL</v>
      </c>
      <c r="L949" t="str">
        <f>"RDIU"</f>
        <v>RDIU</v>
      </c>
      <c r="M949">
        <v>10</v>
      </c>
      <c r="N949">
        <v>340100024</v>
      </c>
      <c r="O949" t="str">
        <f t="shared" si="366"/>
        <v>每部位</v>
      </c>
      <c r="P949" t="str">
        <f t="shared" si="363"/>
        <v>治疗费</v>
      </c>
    </row>
    <row r="950" spans="1:16">
      <c r="A950" t="str">
        <f>"冷疗"</f>
        <v>冷疗</v>
      </c>
      <c r="B950">
        <v>340100025</v>
      </c>
      <c r="C950" t="str">
        <f t="shared" si="364"/>
        <v>其他</v>
      </c>
      <c r="D950" t="str">
        <f>"003401000250000"</f>
        <v>003401000250000</v>
      </c>
      <c r="G950">
        <v>5</v>
      </c>
      <c r="I950" t="str">
        <f t="shared" si="365"/>
        <v>每部位</v>
      </c>
      <c r="K950" t="str">
        <f>"LL"</f>
        <v>LL</v>
      </c>
      <c r="L950" t="str">
        <f>"UU"</f>
        <v>UU</v>
      </c>
      <c r="M950">
        <v>5</v>
      </c>
      <c r="N950">
        <v>340100025</v>
      </c>
      <c r="O950" t="str">
        <f t="shared" si="366"/>
        <v>每部位</v>
      </c>
      <c r="P950" t="str">
        <f t="shared" si="363"/>
        <v>治疗费</v>
      </c>
    </row>
    <row r="951" spans="1:16">
      <c r="A951" t="str">
        <f>"电按摩"</f>
        <v>电按摩</v>
      </c>
      <c r="B951">
        <v>340100026</v>
      </c>
      <c r="C951" t="str">
        <f t="shared" si="364"/>
        <v>其他</v>
      </c>
      <c r="D951" t="str">
        <f>"003401000260000"</f>
        <v>003401000260000</v>
      </c>
      <c r="G951">
        <v>8</v>
      </c>
      <c r="I951" t="str">
        <f t="shared" si="367"/>
        <v>次</v>
      </c>
      <c r="K951" t="str">
        <f>"DAM"</f>
        <v>DAM</v>
      </c>
      <c r="L951" t="str">
        <f>"JRY"</f>
        <v>JRY</v>
      </c>
      <c r="M951">
        <v>8</v>
      </c>
      <c r="N951">
        <v>340100026</v>
      </c>
      <c r="O951" t="str">
        <f t="shared" si="368"/>
        <v>次</v>
      </c>
      <c r="P951" t="str">
        <f t="shared" si="363"/>
        <v>治疗费</v>
      </c>
    </row>
    <row r="952" spans="1:16">
      <c r="A952" t="str">
        <f>"场效应治疗"</f>
        <v>场效应治疗</v>
      </c>
      <c r="B952">
        <v>340100027</v>
      </c>
      <c r="C952" t="str">
        <f t="shared" si="364"/>
        <v>其他</v>
      </c>
      <c r="D952" t="str">
        <f>"003401000270000"</f>
        <v>003401000270000</v>
      </c>
      <c r="G952">
        <v>5</v>
      </c>
      <c r="I952" t="str">
        <f>"每部位"</f>
        <v>每部位</v>
      </c>
      <c r="K952" t="str">
        <f>"CXYZL"</f>
        <v>CXYZL</v>
      </c>
      <c r="L952" t="str">
        <f>"FUYIU"</f>
        <v>FUYIU</v>
      </c>
      <c r="M952">
        <v>5</v>
      </c>
      <c r="N952">
        <v>340100027</v>
      </c>
      <c r="O952" t="str">
        <f>"每部位"</f>
        <v>每部位</v>
      </c>
      <c r="P952" t="str">
        <f t="shared" si="363"/>
        <v>治疗费</v>
      </c>
    </row>
    <row r="953" spans="1:16">
      <c r="A953" t="str">
        <f>"多频振动治疗"</f>
        <v>多频振动治疗</v>
      </c>
      <c r="B953">
        <v>340100028</v>
      </c>
      <c r="C953" t="str">
        <f t="shared" si="364"/>
        <v>其他</v>
      </c>
      <c r="D953" t="str">
        <f>"323401000340000"</f>
        <v>323401000340000</v>
      </c>
      <c r="G953">
        <v>40</v>
      </c>
      <c r="I953" t="str">
        <f t="shared" si="367"/>
        <v>次</v>
      </c>
      <c r="K953" t="str">
        <f>"DPZDZL"</f>
        <v>DPZDZL</v>
      </c>
      <c r="L953" t="str">
        <f>"QHRFIU"</f>
        <v>QHRFIU</v>
      </c>
      <c r="M953">
        <v>40</v>
      </c>
      <c r="N953">
        <v>340100028</v>
      </c>
      <c r="O953" t="str">
        <f t="shared" si="368"/>
        <v>次</v>
      </c>
      <c r="P953" t="str">
        <f t="shared" si="363"/>
        <v>治疗费</v>
      </c>
    </row>
    <row r="954" spans="1:16">
      <c r="A954" t="str">
        <f>"徒手平衡功能检查"</f>
        <v>徒手平衡功能检查</v>
      </c>
      <c r="B954">
        <v>340200001</v>
      </c>
      <c r="C954" t="str">
        <f t="shared" ref="C954:C959" si="369">"检查"</f>
        <v>检查</v>
      </c>
      <c r="D954" t="str">
        <f>"003402000010000"</f>
        <v>003402000010000</v>
      </c>
      <c r="G954">
        <v>16</v>
      </c>
      <c r="I954" t="str">
        <f t="shared" si="367"/>
        <v>次</v>
      </c>
      <c r="K954" t="str">
        <f>"TSPHGNJC"</f>
        <v>TSPHGNJC</v>
      </c>
      <c r="L954" t="str">
        <f>"TRGTACSS"</f>
        <v>TRGTACSS</v>
      </c>
      <c r="M954">
        <v>16</v>
      </c>
      <c r="N954">
        <v>340200001</v>
      </c>
      <c r="O954" t="str">
        <f t="shared" si="368"/>
        <v>次</v>
      </c>
      <c r="P954" t="str">
        <f t="shared" ref="P954:P957" si="370">"检查费"</f>
        <v>检查费</v>
      </c>
    </row>
    <row r="955" spans="1:16">
      <c r="A955" t="str">
        <f>"日常生活能力评定"</f>
        <v>日常生活能力评定</v>
      </c>
      <c r="B955">
        <v>340200003</v>
      </c>
      <c r="C955" t="str">
        <f t="shared" ref="C955:C958" si="371">"其他"</f>
        <v>其他</v>
      </c>
      <c r="D955" t="str">
        <f>"003402000030000"</f>
        <v>003402000030000</v>
      </c>
      <c r="G955">
        <v>13</v>
      </c>
      <c r="I955" t="str">
        <f t="shared" si="367"/>
        <v>次</v>
      </c>
      <c r="K955" t="str">
        <f>"RCSHNLPD"</f>
        <v>RCSHNLPD</v>
      </c>
      <c r="L955" t="str">
        <f>"JITICLYP"</f>
        <v>JITICLYP</v>
      </c>
      <c r="M955">
        <v>13</v>
      </c>
      <c r="N955">
        <v>340200003</v>
      </c>
      <c r="O955" t="str">
        <f t="shared" si="368"/>
        <v>次</v>
      </c>
      <c r="P955" t="str">
        <f t="shared" ref="P955:P960" si="372">"治疗费"</f>
        <v>治疗费</v>
      </c>
    </row>
    <row r="956" spans="1:16">
      <c r="A956" t="str">
        <f>"手功能评定"</f>
        <v>手功能评定</v>
      </c>
      <c r="B956">
        <v>340200005</v>
      </c>
      <c r="C956" t="str">
        <f t="shared" si="371"/>
        <v>其他</v>
      </c>
      <c r="D956" t="str">
        <f>"003402000050000"</f>
        <v>003402000050000</v>
      </c>
      <c r="G956">
        <v>16</v>
      </c>
      <c r="I956" t="str">
        <f t="shared" si="367"/>
        <v>次</v>
      </c>
      <c r="K956" t="str">
        <f>"SGNPD"</f>
        <v>SGNPD</v>
      </c>
      <c r="L956" t="str">
        <f>"RACYP"</f>
        <v>RACYP</v>
      </c>
      <c r="M956">
        <v>16</v>
      </c>
      <c r="N956">
        <v>340200005</v>
      </c>
      <c r="O956" t="str">
        <f t="shared" si="368"/>
        <v>次</v>
      </c>
      <c r="P956" t="str">
        <f t="shared" si="370"/>
        <v>检查费</v>
      </c>
    </row>
    <row r="957" spans="1:16">
      <c r="A957" t="str">
        <f>"疲劳度测定"</f>
        <v>疲劳度测定</v>
      </c>
      <c r="B957">
        <v>340200006</v>
      </c>
      <c r="C957" t="str">
        <f t="shared" si="369"/>
        <v>检查</v>
      </c>
      <c r="D957" t="str">
        <f>"003402000060000"</f>
        <v>003402000060000</v>
      </c>
      <c r="G957">
        <v>16</v>
      </c>
      <c r="I957" t="str">
        <f t="shared" si="367"/>
        <v>次</v>
      </c>
      <c r="K957" t="str">
        <f>"pldcd"</f>
        <v>pldcd</v>
      </c>
      <c r="M957">
        <v>16</v>
      </c>
      <c r="N957">
        <v>340200006</v>
      </c>
      <c r="O957" t="str">
        <f>"每次"</f>
        <v>每次</v>
      </c>
      <c r="P957" t="str">
        <f t="shared" si="370"/>
        <v>检查费</v>
      </c>
    </row>
    <row r="958" spans="1:16">
      <c r="A958" t="str">
        <f>"步态分析检查"</f>
        <v>步态分析检查</v>
      </c>
      <c r="B958">
        <v>340200007</v>
      </c>
      <c r="C958" t="str">
        <f t="shared" si="371"/>
        <v>其他</v>
      </c>
      <c r="D958" t="str">
        <f>"003402000070000"</f>
        <v>003402000070000</v>
      </c>
      <c r="G958">
        <v>16</v>
      </c>
      <c r="I958" t="str">
        <f t="shared" si="367"/>
        <v>次</v>
      </c>
      <c r="K958" t="str">
        <f>"BTFXJC"</f>
        <v>BTFXJC</v>
      </c>
      <c r="L958" t="str">
        <f>"HDWSSS"</f>
        <v>HDWSSS</v>
      </c>
      <c r="M958">
        <v>16</v>
      </c>
      <c r="N958">
        <v>340200007</v>
      </c>
      <c r="O958" t="str">
        <f t="shared" ref="O958:O970" si="373">"次"</f>
        <v>次</v>
      </c>
      <c r="P958" t="str">
        <f t="shared" si="372"/>
        <v>治疗费</v>
      </c>
    </row>
    <row r="959" spans="1:16">
      <c r="A959" t="str">
        <f>"言语能力评定"</f>
        <v>言语能力评定</v>
      </c>
      <c r="B959">
        <v>340200008</v>
      </c>
      <c r="C959" t="str">
        <f t="shared" si="369"/>
        <v>检查</v>
      </c>
      <c r="D959" t="str">
        <f>"003402000080000"</f>
        <v>003402000080000</v>
      </c>
      <c r="G959">
        <v>16</v>
      </c>
      <c r="I959" t="str">
        <f t="shared" si="367"/>
        <v>次</v>
      </c>
      <c r="K959" t="str">
        <f>"YYNLPD"</f>
        <v>YYNLPD</v>
      </c>
      <c r="L959" t="str">
        <f>"YYCLYP"</f>
        <v>YYCLYP</v>
      </c>
      <c r="M959">
        <v>16</v>
      </c>
      <c r="N959">
        <v>340200008</v>
      </c>
      <c r="O959" t="str">
        <f t="shared" si="373"/>
        <v>次</v>
      </c>
      <c r="P959" t="str">
        <f t="shared" ref="P959:P964" si="374">"检查费"</f>
        <v>检查费</v>
      </c>
    </row>
    <row r="960" spans="1:16">
      <c r="A960" t="str">
        <f>"失语症检查"</f>
        <v>失语症检查</v>
      </c>
      <c r="B960">
        <v>340200009</v>
      </c>
      <c r="C960" t="str">
        <f t="shared" ref="C960:C965" si="375">"其他"</f>
        <v>其他</v>
      </c>
      <c r="D960" t="str">
        <f>"003402000090000"</f>
        <v>003402000090000</v>
      </c>
      <c r="G960">
        <v>26</v>
      </c>
      <c r="I960" t="str">
        <f t="shared" si="367"/>
        <v>次</v>
      </c>
      <c r="K960" t="str">
        <f>"SYZJC"</f>
        <v>SYZJC</v>
      </c>
      <c r="L960" t="str">
        <f>"RYUSS"</f>
        <v>RYUSS</v>
      </c>
      <c r="M960">
        <v>26</v>
      </c>
      <c r="N960">
        <v>340200009</v>
      </c>
      <c r="O960" t="str">
        <f t="shared" si="373"/>
        <v>次</v>
      </c>
      <c r="P960" t="str">
        <f t="shared" si="372"/>
        <v>治疗费</v>
      </c>
    </row>
    <row r="961" spans="1:16">
      <c r="A961" t="str">
        <f>"口吃检查"</f>
        <v>口吃检查</v>
      </c>
      <c r="B961">
        <v>340200010</v>
      </c>
      <c r="C961" t="str">
        <f t="shared" ref="C961:C964" si="376">"检查"</f>
        <v>检查</v>
      </c>
      <c r="D961" t="str">
        <f>"003402000100000"</f>
        <v>003402000100000</v>
      </c>
      <c r="G961">
        <v>13</v>
      </c>
      <c r="I961" t="str">
        <f t="shared" si="367"/>
        <v>次</v>
      </c>
      <c r="K961" t="str">
        <f>"KCJC"</f>
        <v>KCJC</v>
      </c>
      <c r="L961" t="str">
        <f>"KKSS"</f>
        <v>KKSS</v>
      </c>
      <c r="M961">
        <v>13</v>
      </c>
      <c r="N961">
        <v>340200010</v>
      </c>
      <c r="O961" t="str">
        <f t="shared" si="373"/>
        <v>次</v>
      </c>
      <c r="P961" t="str">
        <f t="shared" si="374"/>
        <v>检查费</v>
      </c>
    </row>
    <row r="962" spans="1:16">
      <c r="A962" t="str">
        <f>"吞咽功能障碍评定"</f>
        <v>吞咽功能障碍评定</v>
      </c>
      <c r="B962">
        <v>340200011</v>
      </c>
      <c r="C962" t="str">
        <f t="shared" si="375"/>
        <v>其他</v>
      </c>
      <c r="D962" t="str">
        <f>"003402000110000"</f>
        <v>003402000110000</v>
      </c>
      <c r="G962">
        <v>36</v>
      </c>
      <c r="I962" t="str">
        <f t="shared" si="367"/>
        <v>次</v>
      </c>
      <c r="K962" t="str">
        <f>"TYGNZAPD"</f>
        <v>TYGNZAPD</v>
      </c>
      <c r="L962" t="str">
        <f>"GKACBDYP"</f>
        <v>GKACBDYP</v>
      </c>
      <c r="M962">
        <v>36</v>
      </c>
      <c r="N962">
        <v>340200011</v>
      </c>
      <c r="O962" t="str">
        <f t="shared" si="373"/>
        <v>次</v>
      </c>
      <c r="P962" t="str">
        <f>"治疗费"</f>
        <v>治疗费</v>
      </c>
    </row>
    <row r="963" spans="1:16">
      <c r="A963" t="str">
        <f>"认知知觉功能检查"</f>
        <v>认知知觉功能检查</v>
      </c>
      <c r="B963">
        <v>340200012</v>
      </c>
      <c r="C963" t="str">
        <f t="shared" si="376"/>
        <v>检查</v>
      </c>
      <c r="D963" t="str">
        <f>"003402000120000"</f>
        <v>003402000120000</v>
      </c>
      <c r="G963">
        <v>13</v>
      </c>
      <c r="I963" t="str">
        <f t="shared" si="367"/>
        <v>次</v>
      </c>
      <c r="K963" t="str">
        <f>"RZZJGNJC"</f>
        <v>RZZJGNJC</v>
      </c>
      <c r="L963" t="str">
        <f>"YTTIACSS"</f>
        <v>YTTIACSS</v>
      </c>
      <c r="M963">
        <v>13</v>
      </c>
      <c r="N963">
        <v>340200012</v>
      </c>
      <c r="O963" t="str">
        <f t="shared" si="373"/>
        <v>次</v>
      </c>
      <c r="P963" t="str">
        <f t="shared" si="374"/>
        <v>检查费</v>
      </c>
    </row>
    <row r="964" spans="1:16">
      <c r="A964" t="str">
        <f>"失认失用评定"</f>
        <v>失认失用评定</v>
      </c>
      <c r="B964">
        <v>340200014</v>
      </c>
      <c r="C964" t="str">
        <f t="shared" si="376"/>
        <v>检查</v>
      </c>
      <c r="D964" t="str">
        <f>"003402000140000"</f>
        <v>003402000140000</v>
      </c>
      <c r="G964">
        <v>13</v>
      </c>
      <c r="I964" t="str">
        <f t="shared" si="367"/>
        <v>次</v>
      </c>
      <c r="K964" t="str">
        <f>"SRSYPD"</f>
        <v>SRSYPD</v>
      </c>
      <c r="L964" t="str">
        <f>"RYREYP"</f>
        <v>RYREYP</v>
      </c>
      <c r="M964">
        <v>13</v>
      </c>
      <c r="N964">
        <v>340200014</v>
      </c>
      <c r="O964" t="str">
        <f t="shared" si="373"/>
        <v>次</v>
      </c>
      <c r="P964" t="str">
        <f t="shared" si="374"/>
        <v>检查费</v>
      </c>
    </row>
    <row r="965" spans="1:16">
      <c r="A965" t="str">
        <f>"职业能力评定"</f>
        <v>职业能力评定</v>
      </c>
      <c r="B965">
        <v>340200015</v>
      </c>
      <c r="C965" t="str">
        <f t="shared" si="375"/>
        <v>其他</v>
      </c>
      <c r="D965" t="str">
        <f>"003402000150000"</f>
        <v>003402000150000</v>
      </c>
      <c r="G965">
        <v>13</v>
      </c>
      <c r="I965" t="str">
        <f t="shared" si="367"/>
        <v>次</v>
      </c>
      <c r="K965" t="str">
        <f>"ZYNLPD"</f>
        <v>ZYNLPD</v>
      </c>
      <c r="L965" t="str">
        <f>"BOCLYP"</f>
        <v>BOCLYP</v>
      </c>
      <c r="M965">
        <v>13</v>
      </c>
      <c r="N965">
        <v>340200015</v>
      </c>
      <c r="O965" t="str">
        <f t="shared" si="373"/>
        <v>次</v>
      </c>
      <c r="P965" t="str">
        <f t="shared" ref="P965:P981" si="377">"治疗费"</f>
        <v>治疗费</v>
      </c>
    </row>
    <row r="966" spans="1:16">
      <c r="A966" t="str">
        <f>"记忆广度检查"</f>
        <v>记忆广度检查</v>
      </c>
      <c r="B966">
        <v>340200016</v>
      </c>
      <c r="C966" t="str">
        <f>"检查"</f>
        <v>检查</v>
      </c>
      <c r="D966" t="str">
        <f>"003402000160000"</f>
        <v>003402000160000</v>
      </c>
      <c r="G966">
        <v>13</v>
      </c>
      <c r="I966" t="str">
        <f t="shared" si="367"/>
        <v>次</v>
      </c>
      <c r="K966" t="str">
        <f>"JYGDJC"</f>
        <v>JYGDJC</v>
      </c>
      <c r="L966" t="str">
        <f>"YNYYSS"</f>
        <v>YNYYSS</v>
      </c>
      <c r="M966">
        <v>13</v>
      </c>
      <c r="N966">
        <v>340200016</v>
      </c>
      <c r="O966" t="str">
        <f t="shared" si="373"/>
        <v>次</v>
      </c>
      <c r="P966" t="str">
        <f>"检查费"</f>
        <v>检查费</v>
      </c>
    </row>
    <row r="967" spans="1:16">
      <c r="A967" t="str">
        <f>"心功能康复评定"</f>
        <v>心功能康复评定</v>
      </c>
      <c r="B967">
        <v>340200017</v>
      </c>
      <c r="C967" t="str">
        <f>"检查"</f>
        <v>检查</v>
      </c>
      <c r="D967" t="str">
        <f>"003402000170000"</f>
        <v>003402000170000</v>
      </c>
      <c r="G967">
        <v>52</v>
      </c>
      <c r="I967" t="str">
        <f t="shared" si="367"/>
        <v>次</v>
      </c>
      <c r="K967" t="str">
        <f>"XGNKFPD"</f>
        <v>XGNKFPD</v>
      </c>
      <c r="L967" t="str">
        <f>"NACYTYP"</f>
        <v>NACYTYP</v>
      </c>
      <c r="M967">
        <v>52</v>
      </c>
      <c r="N967">
        <v>340200017</v>
      </c>
      <c r="O967" t="str">
        <f t="shared" si="373"/>
        <v>次</v>
      </c>
      <c r="P967" t="str">
        <f>"检查费"</f>
        <v>检查费</v>
      </c>
    </row>
    <row r="968" spans="1:16">
      <c r="A968" t="str">
        <f>"人体残伤测定"</f>
        <v>人体残伤测定</v>
      </c>
      <c r="B968">
        <v>340200019</v>
      </c>
      <c r="C968" t="str">
        <f t="shared" ref="C968:C981" si="378">"其他"</f>
        <v>其他</v>
      </c>
      <c r="D968" t="str">
        <f>"003402000190000"</f>
        <v>003402000190000</v>
      </c>
      <c r="G968">
        <v>16</v>
      </c>
      <c r="I968" t="str">
        <f t="shared" si="367"/>
        <v>次</v>
      </c>
      <c r="K968" t="str">
        <f>"RTCSCD"</f>
        <v>RTCSCD</v>
      </c>
      <c r="L968" t="str">
        <f>"WWGWIP"</f>
        <v>WWGWIP</v>
      </c>
      <c r="M968">
        <v>16</v>
      </c>
      <c r="N968">
        <v>340200019</v>
      </c>
      <c r="O968" t="str">
        <f t="shared" si="373"/>
        <v>次</v>
      </c>
      <c r="P968" t="str">
        <f t="shared" si="377"/>
        <v>治疗费</v>
      </c>
    </row>
    <row r="969" spans="1:16">
      <c r="A969" t="str">
        <f>"器械训练"</f>
        <v>器械训练</v>
      </c>
      <c r="B969" t="str">
        <f>"340200020-1"</f>
        <v>340200020-1</v>
      </c>
      <c r="C969" t="str">
        <f t="shared" si="378"/>
        <v>其他</v>
      </c>
      <c r="D969" t="str">
        <f t="shared" ref="D969:D975" si="379">"003402000200000"</f>
        <v>003402000200000</v>
      </c>
      <c r="G969">
        <v>16</v>
      </c>
      <c r="I969">
        <v>1</v>
      </c>
      <c r="K969" t="str">
        <f>"QXXL"</f>
        <v>QXXL</v>
      </c>
      <c r="L969" t="str">
        <f>"KSYX"</f>
        <v>KSYX</v>
      </c>
      <c r="M969">
        <v>16</v>
      </c>
      <c r="N969">
        <v>340200020</v>
      </c>
      <c r="O969" t="str">
        <f t="shared" si="373"/>
        <v>次</v>
      </c>
      <c r="P969" t="str">
        <f t="shared" si="377"/>
        <v>治疗费</v>
      </c>
    </row>
    <row r="970" spans="1:16">
      <c r="A970" t="str">
        <f>"步态平衡功能训练"</f>
        <v>步态平衡功能训练</v>
      </c>
      <c r="B970" t="str">
        <f>"340200020-2"</f>
        <v>340200020-2</v>
      </c>
      <c r="C970" t="str">
        <f t="shared" si="378"/>
        <v>其他</v>
      </c>
      <c r="D970" t="str">
        <f t="shared" si="379"/>
        <v>003402000200000</v>
      </c>
      <c r="G970">
        <v>16</v>
      </c>
      <c r="I970" t="str">
        <f t="shared" ref="I970:I984" si="380">"次"</f>
        <v>次</v>
      </c>
      <c r="K970" t="str">
        <f>"BTPHGNXL"</f>
        <v>BTPHGNXL</v>
      </c>
      <c r="M970">
        <v>16</v>
      </c>
      <c r="N970">
        <v>340200020</v>
      </c>
      <c r="O970" t="str">
        <f t="shared" si="373"/>
        <v>次</v>
      </c>
      <c r="P970" t="str">
        <f t="shared" si="377"/>
        <v>治疗费</v>
      </c>
    </row>
    <row r="971" spans="1:16">
      <c r="A971" t="str">
        <f>"各关节活动度训练"</f>
        <v>各关节活动度训练</v>
      </c>
      <c r="B971" t="str">
        <f>"340200020-3"</f>
        <v>340200020-3</v>
      </c>
      <c r="C971" t="str">
        <f t="shared" si="378"/>
        <v>其他</v>
      </c>
      <c r="D971" t="str">
        <f t="shared" si="379"/>
        <v>003402000200000</v>
      </c>
      <c r="G971">
        <v>16</v>
      </c>
      <c r="I971" t="str">
        <f>"部位"</f>
        <v>部位</v>
      </c>
      <c r="K971" t="str">
        <f>"GGJHDDXL"</f>
        <v>GGJHDDXL</v>
      </c>
      <c r="L971" t="str">
        <f>"TUAIFYYX"</f>
        <v>TUAIFYYX</v>
      </c>
      <c r="M971">
        <v>16</v>
      </c>
      <c r="N971">
        <v>340200020</v>
      </c>
      <c r="O971" t="str">
        <f>"每个 部位"</f>
        <v>每个 部位</v>
      </c>
      <c r="P971" t="str">
        <f t="shared" si="377"/>
        <v>治疗费</v>
      </c>
    </row>
    <row r="972" spans="1:16">
      <c r="A972" t="str">
        <f>"全身肌力训练"</f>
        <v>全身肌力训练</v>
      </c>
      <c r="B972" t="str">
        <f>"340200020-4"</f>
        <v>340200020-4</v>
      </c>
      <c r="C972" t="str">
        <f t="shared" si="378"/>
        <v>其他</v>
      </c>
      <c r="D972" t="str">
        <f t="shared" si="379"/>
        <v>003402000200000</v>
      </c>
      <c r="G972">
        <v>16</v>
      </c>
      <c r="I972" t="str">
        <f t="shared" si="380"/>
        <v>次</v>
      </c>
      <c r="K972" t="str">
        <f>"QSJLXL"</f>
        <v>QSJLXL</v>
      </c>
      <c r="M972">
        <v>16</v>
      </c>
      <c r="N972">
        <v>340200020</v>
      </c>
      <c r="O972" t="str">
        <f t="shared" ref="O972:O984" si="381">"次"</f>
        <v>次</v>
      </c>
      <c r="P972" t="str">
        <f t="shared" si="377"/>
        <v>治疗费</v>
      </c>
    </row>
    <row r="973" spans="1:16">
      <c r="A973" t="str">
        <f>"器械训练"</f>
        <v>器械训练</v>
      </c>
      <c r="B973" t="str">
        <f>"340200020-5"</f>
        <v>340200020-5</v>
      </c>
      <c r="C973" t="str">
        <f t="shared" si="378"/>
        <v>其他</v>
      </c>
      <c r="D973" t="str">
        <f t="shared" si="379"/>
        <v>003402000200000</v>
      </c>
      <c r="G973">
        <v>16</v>
      </c>
      <c r="I973" t="str">
        <f t="shared" si="380"/>
        <v>次</v>
      </c>
      <c r="K973" t="str">
        <f>"QXXL"</f>
        <v>QXXL</v>
      </c>
      <c r="L973" t="str">
        <f>"KSYX"</f>
        <v>KSYX</v>
      </c>
      <c r="M973">
        <v>16</v>
      </c>
      <c r="N973">
        <v>340200020</v>
      </c>
      <c r="O973" t="str">
        <f t="shared" si="381"/>
        <v>次</v>
      </c>
      <c r="P973" t="str">
        <f t="shared" si="377"/>
        <v>治疗费</v>
      </c>
    </row>
    <row r="974" spans="1:16">
      <c r="A974" t="str">
        <f>"徒手体操"</f>
        <v>徒手体操</v>
      </c>
      <c r="B974" t="str">
        <f>"340200020-6"</f>
        <v>340200020-6</v>
      </c>
      <c r="C974" t="str">
        <f t="shared" si="378"/>
        <v>其他</v>
      </c>
      <c r="D974" t="str">
        <f t="shared" si="379"/>
        <v>003402000200000</v>
      </c>
      <c r="G974">
        <v>16</v>
      </c>
      <c r="I974" t="str">
        <f t="shared" si="380"/>
        <v>次</v>
      </c>
      <c r="K974" t="str">
        <f>"TSTC"</f>
        <v>TSTC</v>
      </c>
      <c r="L974" t="str">
        <f>"TRWR"</f>
        <v>TRWR</v>
      </c>
      <c r="M974">
        <v>16</v>
      </c>
      <c r="N974">
        <v>340200020</v>
      </c>
      <c r="O974" t="str">
        <f t="shared" si="381"/>
        <v>次</v>
      </c>
      <c r="P974" t="str">
        <f t="shared" si="377"/>
        <v>治疗费</v>
      </c>
    </row>
    <row r="975" spans="1:16">
      <c r="A975" t="str">
        <f>"仪器平衡功能训练"</f>
        <v>仪器平衡功能训练</v>
      </c>
      <c r="B975" t="str">
        <f>"340200020-7"</f>
        <v>340200020-7</v>
      </c>
      <c r="C975" t="str">
        <f t="shared" si="378"/>
        <v>其他</v>
      </c>
      <c r="D975" t="str">
        <f t="shared" si="379"/>
        <v>003402000200000</v>
      </c>
      <c r="G975">
        <v>16</v>
      </c>
      <c r="I975" t="str">
        <f t="shared" si="380"/>
        <v>次</v>
      </c>
      <c r="K975" t="str">
        <f>"YQPHGNXL"</f>
        <v>YQPHGNXL</v>
      </c>
      <c r="L975" t="str">
        <f>"WKGTACYX"</f>
        <v>WKGTACYX</v>
      </c>
      <c r="M975">
        <v>16</v>
      </c>
      <c r="N975">
        <v>340200020</v>
      </c>
      <c r="O975" t="str">
        <f t="shared" si="381"/>
        <v>次</v>
      </c>
      <c r="P975" t="str">
        <f t="shared" si="377"/>
        <v>治疗费</v>
      </c>
    </row>
    <row r="976" spans="1:16">
      <c r="A976" t="str">
        <f>"减重支持系统训练"</f>
        <v>减重支持系统训练</v>
      </c>
      <c r="B976">
        <v>340200021</v>
      </c>
      <c r="C976" t="str">
        <f t="shared" si="378"/>
        <v>其他</v>
      </c>
      <c r="D976" t="str">
        <f>"003402000210000"</f>
        <v>003402000210000</v>
      </c>
      <c r="G976">
        <v>50</v>
      </c>
      <c r="I976" t="str">
        <f t="shared" si="380"/>
        <v>次</v>
      </c>
      <c r="K976" t="str">
        <f>"JCZCXTXL"</f>
        <v>JCZCXTXL</v>
      </c>
      <c r="L976" t="str">
        <f>"UTFRTXYX"</f>
        <v>UTFRTXYX</v>
      </c>
      <c r="M976">
        <v>50</v>
      </c>
      <c r="N976">
        <v>340200021</v>
      </c>
      <c r="O976" t="str">
        <f t="shared" si="381"/>
        <v>次</v>
      </c>
      <c r="P976" t="str">
        <f t="shared" si="377"/>
        <v>治疗费</v>
      </c>
    </row>
    <row r="977" spans="1:16">
      <c r="A977" t="str">
        <f>"轮椅功能训练"</f>
        <v>轮椅功能训练</v>
      </c>
      <c r="B977">
        <v>340200022</v>
      </c>
      <c r="C977" t="str">
        <f t="shared" si="378"/>
        <v>其他</v>
      </c>
      <c r="D977" t="str">
        <f>"003402000220000"</f>
        <v>003402000220000</v>
      </c>
      <c r="G977">
        <v>16</v>
      </c>
      <c r="I977" t="str">
        <f t="shared" si="380"/>
        <v>次</v>
      </c>
      <c r="K977" t="str">
        <f>"LYGNXL"</f>
        <v>LYGNXL</v>
      </c>
      <c r="L977" t="str">
        <f>"LSACYX"</f>
        <v>LSACYX</v>
      </c>
      <c r="M977">
        <v>16</v>
      </c>
      <c r="N977">
        <v>340200022</v>
      </c>
      <c r="O977" t="str">
        <f t="shared" si="381"/>
        <v>次</v>
      </c>
      <c r="P977" t="str">
        <f t="shared" si="377"/>
        <v>治疗费</v>
      </c>
    </row>
    <row r="978" spans="1:16">
      <c r="A978" t="str">
        <f>"电动起立床训练"</f>
        <v>电动起立床训练</v>
      </c>
      <c r="B978">
        <v>340200023</v>
      </c>
      <c r="C978" t="str">
        <f t="shared" si="378"/>
        <v>其他</v>
      </c>
      <c r="D978" t="str">
        <f>"003402000230000"</f>
        <v>003402000230000</v>
      </c>
      <c r="G978">
        <v>16</v>
      </c>
      <c r="I978" t="str">
        <f t="shared" si="380"/>
        <v>次</v>
      </c>
      <c r="K978" t="str">
        <f>"DDQLCXL"</f>
        <v>DDQLCXL</v>
      </c>
      <c r="L978" t="str">
        <f>"JFFUYYX"</f>
        <v>JFFUYYX</v>
      </c>
      <c r="M978">
        <v>16</v>
      </c>
      <c r="N978">
        <v>340200023</v>
      </c>
      <c r="O978" t="str">
        <f t="shared" si="381"/>
        <v>次</v>
      </c>
      <c r="P978" t="str">
        <f t="shared" si="377"/>
        <v>治疗费</v>
      </c>
    </row>
    <row r="979" spans="1:16">
      <c r="A979" t="str">
        <f>"文体训练"</f>
        <v>文体训练</v>
      </c>
      <c r="B979">
        <v>340200028</v>
      </c>
      <c r="C979" t="str">
        <f t="shared" si="378"/>
        <v>其他</v>
      </c>
      <c r="D979" t="str">
        <f>"003402000280000"</f>
        <v>003402000280000</v>
      </c>
      <c r="G979">
        <v>13</v>
      </c>
      <c r="I979" t="str">
        <f t="shared" si="380"/>
        <v>次</v>
      </c>
      <c r="K979" t="str">
        <f>"WTXL"</f>
        <v>WTXL</v>
      </c>
      <c r="L979" t="str">
        <f>"YWYX"</f>
        <v>YWYX</v>
      </c>
      <c r="M979">
        <v>13</v>
      </c>
      <c r="N979">
        <v>340200028</v>
      </c>
      <c r="O979" t="str">
        <f t="shared" si="381"/>
        <v>次</v>
      </c>
      <c r="P979" t="str">
        <f t="shared" si="377"/>
        <v>治疗费</v>
      </c>
    </row>
    <row r="980" spans="1:16">
      <c r="A980" t="str">
        <f>"职业功能训练"</f>
        <v>职业功能训练</v>
      </c>
      <c r="B980">
        <v>340200032</v>
      </c>
      <c r="C980" t="str">
        <f t="shared" si="378"/>
        <v>其他</v>
      </c>
      <c r="D980" t="str">
        <f>"003402000320000"</f>
        <v>003402000320000</v>
      </c>
      <c r="G980">
        <v>26</v>
      </c>
      <c r="I980" t="str">
        <f t="shared" si="380"/>
        <v>次</v>
      </c>
      <c r="K980" t="str">
        <f>"ZYGNXL"</f>
        <v>ZYGNXL</v>
      </c>
      <c r="L980" t="str">
        <f>"BOACYX"</f>
        <v>BOACYX</v>
      </c>
      <c r="M980">
        <v>26</v>
      </c>
      <c r="N980">
        <v>340200032</v>
      </c>
      <c r="O980" t="str">
        <f t="shared" si="381"/>
        <v>次</v>
      </c>
      <c r="P980" t="str">
        <f t="shared" si="377"/>
        <v>治疗费</v>
      </c>
    </row>
    <row r="981" spans="1:16">
      <c r="A981" t="str">
        <f>"口吃训练"</f>
        <v>口吃训练</v>
      </c>
      <c r="B981">
        <v>340200033</v>
      </c>
      <c r="C981" t="str">
        <f t="shared" si="378"/>
        <v>其他</v>
      </c>
      <c r="D981" t="str">
        <f>"003402000330000"</f>
        <v>003402000330000</v>
      </c>
      <c r="G981">
        <v>20</v>
      </c>
      <c r="I981" t="str">
        <f t="shared" si="380"/>
        <v>次</v>
      </c>
      <c r="K981" t="str">
        <f>"KCXL"</f>
        <v>KCXL</v>
      </c>
      <c r="L981" t="str">
        <f>"KKYX"</f>
        <v>KKYX</v>
      </c>
      <c r="M981">
        <v>20</v>
      </c>
      <c r="N981">
        <v>340200033</v>
      </c>
      <c r="O981" t="str">
        <f t="shared" si="381"/>
        <v>次</v>
      </c>
      <c r="P981" t="str">
        <f t="shared" si="377"/>
        <v>治疗费</v>
      </c>
    </row>
    <row r="982" spans="1:16">
      <c r="A982" t="str">
        <f>"社区康复测查"</f>
        <v>社区康复测查</v>
      </c>
      <c r="B982">
        <v>340200039</v>
      </c>
      <c r="C982" t="str">
        <f t="shared" ref="C982:C988" si="382">"检查"</f>
        <v>检查</v>
      </c>
      <c r="D982" t="str">
        <f>"323402000390000"</f>
        <v>323402000390000</v>
      </c>
      <c r="G982">
        <v>13</v>
      </c>
      <c r="I982" t="str">
        <f t="shared" si="380"/>
        <v>次</v>
      </c>
      <c r="K982" t="str">
        <f>"SQKFCC"</f>
        <v>SQKFCC</v>
      </c>
      <c r="L982" t="str">
        <f>"PAYTIS"</f>
        <v>PAYTIS</v>
      </c>
      <c r="M982">
        <v>13</v>
      </c>
      <c r="N982">
        <v>340200039</v>
      </c>
      <c r="O982" t="str">
        <f t="shared" si="381"/>
        <v>次</v>
      </c>
      <c r="P982" t="str">
        <f t="shared" ref="P982:P988" si="383">"检查费"</f>
        <v>检查费</v>
      </c>
    </row>
    <row r="983" spans="1:16">
      <c r="A983" t="str">
        <f>"脑瘫肢体综合训练"</f>
        <v>脑瘫肢体综合训练</v>
      </c>
      <c r="B983">
        <v>340200041</v>
      </c>
      <c r="C983" t="str">
        <f>"其他"</f>
        <v>其他</v>
      </c>
      <c r="D983" t="str">
        <f>"003402000410000"</f>
        <v>003402000410000</v>
      </c>
      <c r="G983">
        <v>60</v>
      </c>
      <c r="I983" t="str">
        <f t="shared" si="380"/>
        <v>次</v>
      </c>
      <c r="K983" t="str">
        <f>"NTZTZHXL"</f>
        <v>NTZTZHXL</v>
      </c>
      <c r="L983" t="str">
        <f>"EUEWXWYX"</f>
        <v>EUEWXWYX</v>
      </c>
      <c r="M983">
        <v>60</v>
      </c>
      <c r="N983">
        <v>340200041</v>
      </c>
      <c r="O983" t="str">
        <f t="shared" si="381"/>
        <v>次</v>
      </c>
      <c r="P983" t="str">
        <f t="shared" ref="P983:P985" si="384">"治疗费"</f>
        <v>治疗费</v>
      </c>
    </row>
    <row r="984" spans="1:16">
      <c r="A984" t="str">
        <f>"截瘫肢体综合训练"</f>
        <v>截瘫肢体综合训练</v>
      </c>
      <c r="B984">
        <v>340200042</v>
      </c>
      <c r="C984" t="str">
        <f>"其他"</f>
        <v>其他</v>
      </c>
      <c r="D984" t="str">
        <f>"003402000420000"</f>
        <v>003402000420000</v>
      </c>
      <c r="G984">
        <v>50</v>
      </c>
      <c r="I984" t="str">
        <f t="shared" si="380"/>
        <v>次</v>
      </c>
      <c r="K984" t="str">
        <f>"JTZTZHXL"</f>
        <v>JTZTZHXL</v>
      </c>
      <c r="L984" t="str">
        <f>"FUEWXWYX"</f>
        <v>FUEWXWYX</v>
      </c>
      <c r="M984">
        <v>50</v>
      </c>
      <c r="N984">
        <v>340200042</v>
      </c>
      <c r="O984" t="str">
        <f t="shared" si="381"/>
        <v>次</v>
      </c>
      <c r="P984" t="str">
        <f t="shared" si="384"/>
        <v>治疗费</v>
      </c>
    </row>
    <row r="985" spans="1:16">
      <c r="A985" t="str">
        <f>"营养状况评定"</f>
        <v>营养状况评定</v>
      </c>
      <c r="B985" t="str">
        <f>"340200045-a"</f>
        <v>340200045-a</v>
      </c>
      <c r="C985" t="str">
        <f t="shared" ref="C985:C990" si="385">"治疗"</f>
        <v>治疗</v>
      </c>
      <c r="D985" t="str">
        <f>"001102000000100"</f>
        <v>001102000000100</v>
      </c>
      <c r="G985">
        <v>70</v>
      </c>
      <c r="I985" t="str">
        <f>"每次"</f>
        <v>每次</v>
      </c>
      <c r="K985" t="str">
        <f>"YYZKPD"</f>
        <v>YYZKPD</v>
      </c>
      <c r="L985" t="str">
        <f>"AUUUYP"</f>
        <v>AUUUYP</v>
      </c>
      <c r="M985">
        <v>70</v>
      </c>
      <c r="N985" t="str">
        <f>"340200045-a"</f>
        <v>340200045-a</v>
      </c>
      <c r="O985" t="str">
        <f>"每次"</f>
        <v>每次</v>
      </c>
      <c r="P985" t="str">
        <f t="shared" si="384"/>
        <v>治疗费</v>
      </c>
    </row>
    <row r="986" spans="1:16">
      <c r="A986" t="str">
        <f>"全身脂肪分布检测"</f>
        <v>全身脂肪分布检测</v>
      </c>
      <c r="B986" t="str">
        <f>"340200047-a"</f>
        <v>340200047-a</v>
      </c>
      <c r="C986" t="str">
        <f t="shared" si="382"/>
        <v>检查</v>
      </c>
      <c r="D986" t="str">
        <f>"001309000010000"</f>
        <v>001309000010000</v>
      </c>
      <c r="G986">
        <v>52</v>
      </c>
      <c r="I986" t="str">
        <f>"次"</f>
        <v>次</v>
      </c>
      <c r="K986" t="str">
        <f>"QSZFFBJC"</f>
        <v>QSZFFBJC</v>
      </c>
      <c r="L986" t="str">
        <f>"WTEEWDSI"</f>
        <v>WTEEWDSI</v>
      </c>
      <c r="M986">
        <v>52</v>
      </c>
      <c r="N986" t="str">
        <f>"340200047-a"</f>
        <v>340200047-a</v>
      </c>
      <c r="O986" t="str">
        <f>"次"</f>
        <v>次</v>
      </c>
      <c r="P986" t="str">
        <f t="shared" si="383"/>
        <v>检查费</v>
      </c>
    </row>
    <row r="987" spans="1:16">
      <c r="A987" t="str">
        <f>"双下肢肌力检测"</f>
        <v>双下肢肌力检测</v>
      </c>
      <c r="B987" t="str">
        <f>"340200047-b"</f>
        <v>340200047-b</v>
      </c>
      <c r="C987" t="str">
        <f t="shared" si="382"/>
        <v>检查</v>
      </c>
      <c r="D987" t="str">
        <f>"003101000220000"</f>
        <v>003101000220000</v>
      </c>
      <c r="G987">
        <v>13</v>
      </c>
      <c r="I987" t="str">
        <f t="shared" ref="I987:I990" si="386">"项"</f>
        <v>项</v>
      </c>
      <c r="K987" t="str">
        <f>"SXZJLJC"</f>
        <v>SXZJLJC</v>
      </c>
      <c r="L987" t="str">
        <f>"CGEELSI"</f>
        <v>CGEELSI</v>
      </c>
      <c r="M987">
        <v>13</v>
      </c>
      <c r="N987" t="str">
        <f>"340200047-b"</f>
        <v>340200047-b</v>
      </c>
      <c r="O987" t="str">
        <f t="shared" ref="O987:O990" si="387">"项"</f>
        <v>项</v>
      </c>
      <c r="P987" t="str">
        <f t="shared" si="383"/>
        <v>检查费</v>
      </c>
    </row>
    <row r="988" spans="1:16">
      <c r="A988" t="str">
        <f>"下肢肌肉分布检测"</f>
        <v>下肢肌肉分布检测</v>
      </c>
      <c r="B988" t="str">
        <f>"340200047-c"</f>
        <v>340200047-c</v>
      </c>
      <c r="C988" t="str">
        <f t="shared" si="382"/>
        <v>检查</v>
      </c>
      <c r="D988" t="str">
        <f>"003101000220000"</f>
        <v>003101000220000</v>
      </c>
      <c r="G988">
        <v>13</v>
      </c>
      <c r="I988" t="str">
        <f t="shared" si="386"/>
        <v>项</v>
      </c>
      <c r="K988" t="str">
        <f>"XZJRFBJC"</f>
        <v>XZJRFBJC</v>
      </c>
      <c r="L988" t="str">
        <f>"GEEMWDSI"</f>
        <v>GEEMWDSI</v>
      </c>
      <c r="M988">
        <v>13</v>
      </c>
      <c r="N988" t="str">
        <f>"340200047-c"</f>
        <v>340200047-c</v>
      </c>
      <c r="O988" t="str">
        <f t="shared" si="387"/>
        <v>项</v>
      </c>
      <c r="P988" t="str">
        <f t="shared" si="383"/>
        <v>检查费</v>
      </c>
    </row>
    <row r="989" spans="1:16">
      <c r="A989" t="str">
        <f>"运动医学指导"</f>
        <v>运动医学指导</v>
      </c>
      <c r="B989">
        <v>340200057</v>
      </c>
      <c r="C989" t="str">
        <f t="shared" si="385"/>
        <v>治疗</v>
      </c>
      <c r="G989">
        <v>100</v>
      </c>
      <c r="I989" t="str">
        <f t="shared" si="386"/>
        <v>项</v>
      </c>
      <c r="K989" t="str">
        <f>"YDYXZD"</f>
        <v>YDYXZD</v>
      </c>
      <c r="L989" t="str">
        <f>"FFAIRN"</f>
        <v>FFAIRN</v>
      </c>
      <c r="M989">
        <v>100</v>
      </c>
      <c r="O989" t="str">
        <f>"半小时"</f>
        <v>半小时</v>
      </c>
      <c r="P989" t="str">
        <f t="shared" ref="P989:P994" si="388">"治疗费"</f>
        <v>治疗费</v>
      </c>
    </row>
    <row r="990" spans="1:16">
      <c r="A990" t="str">
        <f>"直线偏振光照射"</f>
        <v>直线偏振光照射</v>
      </c>
      <c r="B990">
        <v>360100002</v>
      </c>
      <c r="C990" t="str">
        <f t="shared" si="385"/>
        <v>治疗</v>
      </c>
      <c r="D990" t="str">
        <f>"003401000030000"</f>
        <v>003401000030000</v>
      </c>
      <c r="G990">
        <v>50</v>
      </c>
      <c r="I990" t="str">
        <f t="shared" si="386"/>
        <v>项</v>
      </c>
      <c r="K990" t="str">
        <f>"ZXPZGZS"</f>
        <v>ZXPZGZS</v>
      </c>
      <c r="L990" t="str">
        <f>"FXWRIJT"</f>
        <v>FXWRIJT</v>
      </c>
      <c r="M990">
        <v>50</v>
      </c>
      <c r="O990" t="str">
        <f t="shared" si="387"/>
        <v>项</v>
      </c>
      <c r="P990" t="str">
        <f t="shared" si="388"/>
        <v>治疗费</v>
      </c>
    </row>
    <row r="991" spans="1:16">
      <c r="A991" t="str">
        <f>"骨折外固定架固定术"</f>
        <v>骨折外固定架固定术</v>
      </c>
      <c r="B991">
        <v>420000006</v>
      </c>
      <c r="C991" t="str">
        <f t="shared" ref="C991:C1007" si="389">"其他"</f>
        <v>其他</v>
      </c>
      <c r="D991" t="str">
        <f>"004200000060000"</f>
        <v>004200000060000</v>
      </c>
      <c r="G991">
        <v>195</v>
      </c>
      <c r="I991" t="str">
        <f t="shared" ref="I991:I995" si="390">"次"</f>
        <v>次</v>
      </c>
      <c r="K991" t="str">
        <f>"GZWGDJGDS"</f>
        <v>GZWGDJGDS</v>
      </c>
      <c r="L991" t="str">
        <f>"MRQLPLLPS"</f>
        <v>MRQLPLLPS</v>
      </c>
      <c r="M991">
        <v>255</v>
      </c>
      <c r="N991">
        <v>420000006</v>
      </c>
      <c r="O991" t="str">
        <f t="shared" ref="O991:O1010" si="391">"次"</f>
        <v>次</v>
      </c>
      <c r="P991" t="str">
        <f t="shared" si="388"/>
        <v>治疗费</v>
      </c>
    </row>
    <row r="992" spans="1:16">
      <c r="A992" t="str">
        <f>"外固定架使用"</f>
        <v>外固定架使用</v>
      </c>
      <c r="B992">
        <v>420000010</v>
      </c>
      <c r="C992" t="str">
        <f t="shared" si="389"/>
        <v>其他</v>
      </c>
      <c r="D992" t="str">
        <f>"004200000100000"</f>
        <v>004200000100000</v>
      </c>
      <c r="G992">
        <v>6</v>
      </c>
      <c r="I992" t="str">
        <f>"日"</f>
        <v>日</v>
      </c>
      <c r="K992" t="str">
        <f>"WGDJSY"</f>
        <v>WGDJSY</v>
      </c>
      <c r="L992" t="str">
        <f>"QLPLWE"</f>
        <v>QLPLWE</v>
      </c>
      <c r="M992">
        <v>7</v>
      </c>
      <c r="N992">
        <v>420000010</v>
      </c>
      <c r="O992" t="str">
        <f>"日"</f>
        <v>日</v>
      </c>
      <c r="P992" t="str">
        <f t="shared" si="388"/>
        <v>治疗费</v>
      </c>
    </row>
    <row r="993" spans="1:16">
      <c r="A993" t="str">
        <f>"中医定向透药疗法"</f>
        <v>中医定向透药疗法</v>
      </c>
      <c r="B993">
        <v>420000013</v>
      </c>
      <c r="C993" t="str">
        <f t="shared" si="389"/>
        <v>其他</v>
      </c>
      <c r="D993" t="str">
        <f>"004200000130000"</f>
        <v>004200000130000</v>
      </c>
      <c r="G993">
        <v>37</v>
      </c>
      <c r="I993" t="str">
        <f>"部位"</f>
        <v>部位</v>
      </c>
      <c r="K993" t="str">
        <f>"ZYDXTYLF"</f>
        <v>ZYDXTYLF</v>
      </c>
      <c r="L993" t="str">
        <f>"KAPTTAUI"</f>
        <v>KAPTTAUI</v>
      </c>
      <c r="M993">
        <v>37</v>
      </c>
      <c r="N993">
        <v>420000013</v>
      </c>
      <c r="O993" t="str">
        <f>"每部位"</f>
        <v>每部位</v>
      </c>
      <c r="P993" t="str">
        <f t="shared" si="388"/>
        <v>治疗费</v>
      </c>
    </row>
    <row r="994" spans="1:16">
      <c r="A994" t="str">
        <f>"小儿捏脊治疗"</f>
        <v>小儿捏脊治疗</v>
      </c>
      <c r="B994">
        <v>450000010</v>
      </c>
      <c r="C994" t="str">
        <f t="shared" si="389"/>
        <v>其他</v>
      </c>
      <c r="D994" t="str">
        <f>"004500000100000"</f>
        <v>004500000100000</v>
      </c>
      <c r="G994" t="str">
        <f>"0"</f>
        <v>0</v>
      </c>
      <c r="I994" t="str">
        <f t="shared" si="390"/>
        <v>次</v>
      </c>
      <c r="K994" t="str">
        <f>"XENJZL"</f>
        <v>XENJZL</v>
      </c>
      <c r="L994" t="str">
        <f>"IQRIIU"</f>
        <v>IQRIIU</v>
      </c>
      <c r="M994">
        <v>30</v>
      </c>
      <c r="N994">
        <v>450000010</v>
      </c>
      <c r="O994" t="str">
        <f t="shared" si="391"/>
        <v>次</v>
      </c>
      <c r="P994" t="str">
        <f t="shared" si="388"/>
        <v>治疗费</v>
      </c>
    </row>
    <row r="995" spans="1:16">
      <c r="A995" t="str">
        <f>"直肠脱出复位治疗"</f>
        <v>直肠脱出复位治疗</v>
      </c>
      <c r="B995">
        <v>460000001</v>
      </c>
      <c r="C995" t="str">
        <f t="shared" si="389"/>
        <v>其他</v>
      </c>
      <c r="D995" t="str">
        <f>"004600000010000"</f>
        <v>004600000010000</v>
      </c>
      <c r="G995">
        <v>160</v>
      </c>
      <c r="I995" t="str">
        <f t="shared" si="390"/>
        <v>次</v>
      </c>
      <c r="K995" t="str">
        <f>"ZCTCFWZL"</f>
        <v>ZCTCFWZL</v>
      </c>
      <c r="L995" t="str">
        <f>"FEEBTWIU"</f>
        <v>FEEBTWIU</v>
      </c>
      <c r="M995">
        <v>172</v>
      </c>
      <c r="N995">
        <v>460000001</v>
      </c>
      <c r="O995" t="str">
        <f t="shared" si="391"/>
        <v>次</v>
      </c>
      <c r="P995" t="str">
        <f t="shared" ref="P995:P997" si="392">"手术治疗费"</f>
        <v>手术治疗费</v>
      </c>
    </row>
    <row r="996" spans="1:16">
      <c r="A996" t="str">
        <f>"直肠脱出复位治疗（加收）"</f>
        <v>直肠脱出复位治疗（加收）</v>
      </c>
      <c r="B996" t="str">
        <f>"460000001-a"</f>
        <v>460000001-a</v>
      </c>
      <c r="C996" t="str">
        <f t="shared" si="389"/>
        <v>其他</v>
      </c>
      <c r="D996" t="str">
        <f>"004600000010001"</f>
        <v>004600000010001</v>
      </c>
      <c r="G996">
        <v>40</v>
      </c>
      <c r="I996">
        <v>1</v>
      </c>
      <c r="K996" t="str">
        <f>"zctcfwzljs"</f>
        <v>zctcfwzljs</v>
      </c>
      <c r="L996" t="str">
        <f>"feebtwiu"</f>
        <v>feebtwiu</v>
      </c>
      <c r="M996">
        <v>43</v>
      </c>
      <c r="N996" t="str">
        <f>"460000001-a"</f>
        <v>460000001-a</v>
      </c>
      <c r="O996" t="str">
        <f t="shared" si="391"/>
        <v>次</v>
      </c>
      <c r="P996" t="str">
        <f t="shared" si="392"/>
        <v>手术治疗费</v>
      </c>
    </row>
    <row r="997" spans="1:16">
      <c r="A997" t="str">
        <f>"直肠周围硬化剂注射治疗"</f>
        <v>直肠周围硬化剂注射治疗</v>
      </c>
      <c r="B997">
        <v>460000002</v>
      </c>
      <c r="C997" t="str">
        <f t="shared" si="389"/>
        <v>其他</v>
      </c>
      <c r="D997" t="str">
        <f>"004600000020000"</f>
        <v>004600000020000</v>
      </c>
      <c r="G997">
        <v>160</v>
      </c>
      <c r="I997" t="str">
        <f t="shared" ref="I997:I1006" si="393">"次"</f>
        <v>次</v>
      </c>
      <c r="K997" t="str">
        <f>"ZCZWYHJZSZL"</f>
        <v>ZCZWYHJZSZL</v>
      </c>
      <c r="L997" t="str">
        <f>"FEMLDWYITIU"</f>
        <v>FEMLDWYITIU</v>
      </c>
      <c r="M997">
        <v>172</v>
      </c>
      <c r="N997">
        <v>460000002</v>
      </c>
      <c r="O997" t="str">
        <f t="shared" si="391"/>
        <v>次</v>
      </c>
      <c r="P997" t="str">
        <f t="shared" si="392"/>
        <v>手术治疗费</v>
      </c>
    </row>
    <row r="998" spans="1:16">
      <c r="A998" t="str">
        <f>"内痔硬化剂注射治疗(枯痔治疗)"</f>
        <v>内痔硬化剂注射治疗(枯痔治疗)</v>
      </c>
      <c r="B998">
        <v>460000003</v>
      </c>
      <c r="C998" t="str">
        <f t="shared" si="389"/>
        <v>其他</v>
      </c>
      <c r="D998" t="str">
        <f>"004600000030000"</f>
        <v>004600000030000</v>
      </c>
      <c r="G998">
        <v>56</v>
      </c>
      <c r="I998" t="str">
        <f t="shared" si="393"/>
        <v>次</v>
      </c>
      <c r="K998" t="str">
        <f>"NZYHJZSZL(KZZL)"</f>
        <v>NZYHJZSZL(KZZL)</v>
      </c>
      <c r="L998" t="str">
        <f>"MUDWYITIU(SUIU)"</f>
        <v>MUDWYITIU(SUIU)</v>
      </c>
      <c r="M998">
        <v>67</v>
      </c>
      <c r="N998">
        <v>460000003</v>
      </c>
      <c r="O998" t="str">
        <f t="shared" si="391"/>
        <v>次</v>
      </c>
      <c r="P998" t="str">
        <f>"治疗费"</f>
        <v>治疗费</v>
      </c>
    </row>
    <row r="999" spans="1:16">
      <c r="A999" t="str">
        <f>"高位复杂肛瘘挂线治疗"</f>
        <v>高位复杂肛瘘挂线治疗</v>
      </c>
      <c r="B999">
        <v>460000004</v>
      </c>
      <c r="C999" t="str">
        <f t="shared" si="389"/>
        <v>其他</v>
      </c>
      <c r="D999" t="str">
        <f>"004600000040000"</f>
        <v>004600000040000</v>
      </c>
      <c r="G999">
        <v>600</v>
      </c>
      <c r="I999" t="str">
        <f t="shared" si="393"/>
        <v>次</v>
      </c>
      <c r="K999" t="str">
        <f>"GWFZGLGXZL"</f>
        <v>GWFZGLGXZL</v>
      </c>
      <c r="L999" t="str">
        <f>"YWTVEURXIU"</f>
        <v>YWTVEURXIU</v>
      </c>
      <c r="M999">
        <v>720</v>
      </c>
      <c r="N999">
        <v>460000004</v>
      </c>
      <c r="O999" t="str">
        <f t="shared" si="391"/>
        <v>次</v>
      </c>
      <c r="P999" t="str">
        <f t="shared" ref="P999:P1003" si="394">"手术治疗费"</f>
        <v>手术治疗费</v>
      </c>
    </row>
    <row r="1000" spans="1:16">
      <c r="A1000" t="str">
        <f>"血栓性外痔切除术"</f>
        <v>血栓性外痔切除术</v>
      </c>
      <c r="B1000">
        <v>460000005</v>
      </c>
      <c r="C1000" t="str">
        <f t="shared" si="389"/>
        <v>其他</v>
      </c>
      <c r="D1000" t="str">
        <f>"004600000050000"</f>
        <v>004600000050000</v>
      </c>
      <c r="G1000">
        <v>320</v>
      </c>
      <c r="I1000" t="str">
        <f t="shared" si="393"/>
        <v>次</v>
      </c>
      <c r="K1000" t="str">
        <f>"XSXWZQCS"</f>
        <v>XSXWZQCS</v>
      </c>
      <c r="L1000" t="str">
        <f>"TSNQUABS"</f>
        <v>TSNQUABS</v>
      </c>
      <c r="M1000">
        <v>350</v>
      </c>
      <c r="N1000">
        <v>460000005</v>
      </c>
      <c r="O1000" t="str">
        <f t="shared" si="391"/>
        <v>次</v>
      </c>
      <c r="P1000" t="str">
        <f t="shared" si="394"/>
        <v>手术治疗费</v>
      </c>
    </row>
    <row r="1001" spans="1:16">
      <c r="A1001" t="str">
        <f>"环状混合痔切除术"</f>
        <v>环状混合痔切除术</v>
      </c>
      <c r="B1001">
        <v>460000006</v>
      </c>
      <c r="C1001" t="str">
        <f t="shared" si="389"/>
        <v>其他</v>
      </c>
      <c r="D1001" t="str">
        <f>"004600000060000"</f>
        <v>004600000060000</v>
      </c>
      <c r="G1001">
        <v>600</v>
      </c>
      <c r="I1001" t="str">
        <f t="shared" si="393"/>
        <v>次</v>
      </c>
      <c r="K1001" t="str">
        <f>"HZHHZQCS"</f>
        <v>HZHHZQCS</v>
      </c>
      <c r="L1001" t="str">
        <f>"GUIWUABS"</f>
        <v>GUIWUABS</v>
      </c>
      <c r="M1001">
        <v>640</v>
      </c>
      <c r="N1001">
        <v>460000006</v>
      </c>
      <c r="O1001" t="str">
        <f t="shared" si="391"/>
        <v>次</v>
      </c>
      <c r="P1001" t="str">
        <f t="shared" si="394"/>
        <v>手术治疗费</v>
      </c>
    </row>
    <row r="1002" spans="1:16">
      <c r="A1002" t="str">
        <f>"混合痔外剥内扎术"</f>
        <v>混合痔外剥内扎术</v>
      </c>
      <c r="B1002">
        <v>460000007</v>
      </c>
      <c r="C1002" t="str">
        <f t="shared" si="389"/>
        <v>其他</v>
      </c>
      <c r="D1002" t="str">
        <f>"004600000070000"</f>
        <v>004600000070000</v>
      </c>
      <c r="G1002">
        <v>440</v>
      </c>
      <c r="I1002" t="str">
        <f t="shared" si="393"/>
        <v>次</v>
      </c>
      <c r="K1002" t="str">
        <f>"HHZWBNZS"</f>
        <v>HHZWBNZS</v>
      </c>
      <c r="L1002" t="str">
        <f>"IWUQVMRS"</f>
        <v>IWUQVMRS</v>
      </c>
      <c r="M1002">
        <v>480</v>
      </c>
      <c r="N1002">
        <v>460000007</v>
      </c>
      <c r="O1002" t="str">
        <f t="shared" si="391"/>
        <v>次</v>
      </c>
      <c r="P1002" t="str">
        <f t="shared" si="394"/>
        <v>手术治疗费</v>
      </c>
    </row>
    <row r="1003" spans="1:16">
      <c r="A1003" t="str">
        <f>"肛周脓肿一次性根治术"</f>
        <v>肛周脓肿一次性根治术</v>
      </c>
      <c r="B1003">
        <v>460000008</v>
      </c>
      <c r="C1003" t="str">
        <f t="shared" si="389"/>
        <v>其他</v>
      </c>
      <c r="D1003" t="str">
        <f>"004600000080000"</f>
        <v>004600000080000</v>
      </c>
      <c r="G1003">
        <v>320</v>
      </c>
      <c r="I1003" t="str">
        <f t="shared" si="393"/>
        <v>次</v>
      </c>
      <c r="K1003" t="str">
        <f>"GZNZYCXGZS"</f>
        <v>GZNZYCXGZS</v>
      </c>
      <c r="L1003" t="str">
        <f>"EMEEGUNSIS"</f>
        <v>EMEEGUNSIS</v>
      </c>
      <c r="M1003">
        <v>440</v>
      </c>
      <c r="N1003">
        <v>460000008</v>
      </c>
      <c r="O1003" t="str">
        <f t="shared" si="391"/>
        <v>次</v>
      </c>
      <c r="P1003" t="str">
        <f t="shared" si="394"/>
        <v>手术治疗费</v>
      </c>
    </row>
    <row r="1004" spans="1:16">
      <c r="A1004" t="str">
        <f>"肛外括约肌折叠术"</f>
        <v>肛外括约肌折叠术</v>
      </c>
      <c r="B1004">
        <v>460000009</v>
      </c>
      <c r="C1004" t="str">
        <f t="shared" si="389"/>
        <v>其他</v>
      </c>
      <c r="D1004" t="str">
        <f>"004600000090000"</f>
        <v>004600000090000</v>
      </c>
      <c r="G1004">
        <v>800</v>
      </c>
      <c r="I1004" t="str">
        <f t="shared" si="393"/>
        <v>次</v>
      </c>
      <c r="K1004" t="str">
        <f>"GWKYJZDS"</f>
        <v>GWKYJZDS</v>
      </c>
      <c r="L1004" t="str">
        <f>"EQRXERCS"</f>
        <v>EQRXERCS</v>
      </c>
      <c r="M1004">
        <v>800</v>
      </c>
      <c r="N1004">
        <v>460000009</v>
      </c>
      <c r="O1004" t="str">
        <f t="shared" si="391"/>
        <v>次</v>
      </c>
      <c r="P1004" t="str">
        <f>"治疗费"</f>
        <v>治疗费</v>
      </c>
    </row>
    <row r="1005" spans="1:16">
      <c r="A1005" t="str">
        <f>"直肠前突修补术"</f>
        <v>直肠前突修补术</v>
      </c>
      <c r="B1005">
        <v>460000010</v>
      </c>
      <c r="C1005" t="str">
        <f t="shared" si="389"/>
        <v>其他</v>
      </c>
      <c r="D1005" t="str">
        <f>"004600000100000"</f>
        <v>004600000100000</v>
      </c>
      <c r="G1005">
        <v>640</v>
      </c>
      <c r="I1005" t="str">
        <f t="shared" si="393"/>
        <v>次</v>
      </c>
      <c r="K1005" t="str">
        <f>"ZCQTXBS"</f>
        <v>ZCQTXBS</v>
      </c>
      <c r="L1005" t="str">
        <f>"FEUPWPS"</f>
        <v>FEUPWPS</v>
      </c>
      <c r="M1005">
        <v>746</v>
      </c>
      <c r="N1005">
        <v>460000010</v>
      </c>
      <c r="O1005" t="str">
        <f t="shared" si="391"/>
        <v>次</v>
      </c>
      <c r="P1005" t="str">
        <f>"手术治疗费"</f>
        <v>手术治疗费</v>
      </c>
    </row>
    <row r="1006" spans="1:16">
      <c r="A1006" t="str">
        <f>"肛瘘封堵术"</f>
        <v>肛瘘封堵术</v>
      </c>
      <c r="B1006">
        <v>460000011</v>
      </c>
      <c r="C1006" t="str">
        <f t="shared" si="389"/>
        <v>其他</v>
      </c>
      <c r="D1006" t="str">
        <f>"004600000110000"</f>
        <v>004600000110000</v>
      </c>
      <c r="G1006">
        <v>400</v>
      </c>
      <c r="I1006" t="str">
        <f t="shared" si="393"/>
        <v>次</v>
      </c>
      <c r="K1006" t="str">
        <f>"GLFDS"</f>
        <v>GLFDS</v>
      </c>
      <c r="L1006" t="str">
        <f>"EUFFS"</f>
        <v>EUFFS</v>
      </c>
      <c r="M1006">
        <v>440</v>
      </c>
      <c r="N1006">
        <v>460000011</v>
      </c>
      <c r="O1006" t="str">
        <f t="shared" si="391"/>
        <v>次</v>
      </c>
      <c r="P1006" t="str">
        <f>"手术治疗费"</f>
        <v>手术治疗费</v>
      </c>
    </row>
    <row r="1007" spans="1:16">
      <c r="A1007" t="str">
        <f>"医疗气功治疗"</f>
        <v>医疗气功治疗</v>
      </c>
      <c r="B1007">
        <v>470000014</v>
      </c>
      <c r="C1007" t="str">
        <f t="shared" si="389"/>
        <v>其他</v>
      </c>
      <c r="D1007" t="str">
        <f>"004700000140000"</f>
        <v>004700000140000</v>
      </c>
      <c r="G1007">
        <v>12</v>
      </c>
      <c r="I1007" t="str">
        <f>"-"</f>
        <v>-</v>
      </c>
      <c r="K1007" t="str">
        <f>"YLQGZL"</f>
        <v>YLQGZL</v>
      </c>
      <c r="L1007" t="str">
        <f>"AURAIU"</f>
        <v>AURAIU</v>
      </c>
      <c r="M1007">
        <v>12</v>
      </c>
      <c r="N1007">
        <v>470000014</v>
      </c>
      <c r="O1007" t="str">
        <f t="shared" si="391"/>
        <v>次</v>
      </c>
      <c r="P1007" t="str">
        <f>"治疗费"</f>
        <v>治疗费</v>
      </c>
    </row>
    <row r="1008" spans="1:16">
      <c r="A1008" t="str">
        <f>"脉图诊断"</f>
        <v>脉图诊断</v>
      </c>
      <c r="B1008">
        <v>480000002</v>
      </c>
      <c r="C1008" t="str">
        <f>"治疗"</f>
        <v>治疗</v>
      </c>
      <c r="D1008" t="str">
        <f>"004800000020000"</f>
        <v>004800000020000</v>
      </c>
      <c r="G1008">
        <v>6</v>
      </c>
      <c r="I1008" t="str">
        <f>"/"</f>
        <v>/</v>
      </c>
      <c r="K1008" t="str">
        <f>"MTZD"</f>
        <v>MTZD</v>
      </c>
      <c r="L1008" t="str">
        <f>"ELYO"</f>
        <v>ELYO</v>
      </c>
      <c r="M1008">
        <v>6</v>
      </c>
      <c r="N1008">
        <v>480000002</v>
      </c>
      <c r="O1008" t="str">
        <f t="shared" si="391"/>
        <v>次</v>
      </c>
      <c r="P1008" t="str">
        <f>"检查费"</f>
        <v>检查费</v>
      </c>
    </row>
    <row r="1009" spans="1:16">
      <c r="A1009" t="str">
        <f>"中医保健配方、膏药配制费"</f>
        <v>中医保健配方、膏药配制费</v>
      </c>
      <c r="B1009" t="str">
        <f>"480000003-1"</f>
        <v>480000003-1</v>
      </c>
      <c r="C1009" t="str">
        <f>"治疗"</f>
        <v>治疗</v>
      </c>
      <c r="D1009" t="str">
        <f>"004800000030000"</f>
        <v>004800000030000</v>
      </c>
      <c r="G1009">
        <v>300</v>
      </c>
      <c r="I1009" t="str">
        <f>"/"</f>
        <v>/</v>
      </c>
      <c r="K1009" t="str">
        <f>"ZYBJPFGYPZF"</f>
        <v>ZYBJPFGYPZF</v>
      </c>
      <c r="L1009" t="str">
        <f>"KAWWSYYASRX"</f>
        <v>KAWWSYYASRX</v>
      </c>
      <c r="M1009">
        <v>350</v>
      </c>
      <c r="N1009">
        <v>480000003</v>
      </c>
      <c r="O1009" t="str">
        <f t="shared" si="391"/>
        <v>次</v>
      </c>
      <c r="P1009" t="str">
        <f>"服务收入"</f>
        <v>服务收入</v>
      </c>
    </row>
    <row r="1010" spans="1:16">
      <c r="A1010" t="str">
        <f>"煎药机煎药"</f>
        <v>煎药机煎药</v>
      </c>
      <c r="B1010">
        <v>480000005</v>
      </c>
      <c r="C1010" t="str">
        <f>"其他"</f>
        <v>其他</v>
      </c>
      <c r="D1010" t="str">
        <f>"004800000050000"</f>
        <v>004800000050000</v>
      </c>
      <c r="G1010">
        <v>2.2</v>
      </c>
      <c r="I1010" t="str">
        <f>"次"</f>
        <v>次</v>
      </c>
      <c r="K1010" t="str">
        <f>"JYJJY"</f>
        <v>JYJJY</v>
      </c>
      <c r="L1010" t="str">
        <f>"UASUA"</f>
        <v>UASUA</v>
      </c>
      <c r="M1010">
        <v>3</v>
      </c>
      <c r="N1010">
        <v>480000005</v>
      </c>
      <c r="O1010" t="str">
        <f t="shared" si="391"/>
        <v>次</v>
      </c>
      <c r="P1010" t="str">
        <f>"治疗费"</f>
        <v>治疗费</v>
      </c>
    </row>
    <row r="1011" spans="1:16">
      <c r="A1011" t="str">
        <f>"通用粘接系统—通用粘接剂"</f>
        <v>通用粘接系统—通用粘接剂</v>
      </c>
      <c r="B1011" t="str">
        <f>"C0704021420000120909"</f>
        <v>C0704021420000120909</v>
      </c>
      <c r="C1011" t="str">
        <f t="shared" ref="C1011:C1017" si="395">"材料"</f>
        <v>材料</v>
      </c>
      <c r="G1011">
        <v>2.5</v>
      </c>
      <c r="K1011" t="str">
        <f>"TYNJXTTYNJJ"</f>
        <v>TYNJXTTYNJJ</v>
      </c>
      <c r="L1011" t="str">
        <f>"CEORTXCEORY"</f>
        <v>CEORTXCEORY</v>
      </c>
      <c r="M1011">
        <v>500</v>
      </c>
      <c r="O1011" t="str">
        <f>"瓶"</f>
        <v>瓶</v>
      </c>
      <c r="P1011" t="str">
        <f t="shared" ref="P1011:P1017" si="396">"材料费"</f>
        <v>材料费</v>
      </c>
    </row>
    <row r="1012" spans="1:16">
      <c r="A1012" t="str">
        <f>"光固化复合树脂-A1牙体色"</f>
        <v>光固化复合树脂-A1牙体色</v>
      </c>
      <c r="B1012" t="str">
        <f>"C0705011430100020909-2"</f>
        <v>C0705011430100020909-2</v>
      </c>
      <c r="C1012" t="str">
        <f t="shared" si="395"/>
        <v>材料</v>
      </c>
      <c r="G1012">
        <v>9.9</v>
      </c>
      <c r="I1012" t="str">
        <f>"袋"</f>
        <v>袋</v>
      </c>
      <c r="K1012" t="str">
        <f>"GGHFHSZA1YTS"</f>
        <v>GGHFHSZA1YTS</v>
      </c>
      <c r="L1012" t="str">
        <f>"ILWTWSEA1AWQ"</f>
        <v>ILWTWSEA1AWQ</v>
      </c>
      <c r="M1012">
        <v>198.3</v>
      </c>
      <c r="O1012" t="str">
        <f t="shared" ref="O1012:O1016" si="397">"袋"</f>
        <v>袋</v>
      </c>
      <c r="P1012" t="str">
        <f t="shared" si="396"/>
        <v>材料费</v>
      </c>
    </row>
    <row r="1013" spans="1:16">
      <c r="A1013" t="str">
        <f>"新型冠状病毒（2019-nCoV）抗原检测试剂盒（胶体金法）"</f>
        <v>新型冠状病毒（2019-nCoV）抗原检测试剂盒（胶体金法）</v>
      </c>
      <c r="B1013" t="str">
        <f>"C14020227800024"</f>
        <v>C14020227800024</v>
      </c>
      <c r="C1013" t="str">
        <f t="shared" si="395"/>
        <v>材料</v>
      </c>
      <c r="G1013">
        <v>3.9</v>
      </c>
      <c r="I1013" t="str">
        <f>"20人份/盒"</f>
        <v>20人份/盒</v>
      </c>
      <c r="K1013" t="str">
        <f>"XXGZBD2019NCOVKY"</f>
        <v>XXGZBD2019NCOVKY</v>
      </c>
      <c r="L1013" t="str">
        <f>"UGPUUG2019NCOVRD"</f>
        <v>UGPUUG2019NCOVRD</v>
      </c>
      <c r="M1013">
        <v>4</v>
      </c>
      <c r="O1013" t="str">
        <f>"项"</f>
        <v>项</v>
      </c>
      <c r="P1013" t="str">
        <f t="shared" si="396"/>
        <v>材料费</v>
      </c>
    </row>
    <row r="1014" spans="1:16">
      <c r="A1014" t="str">
        <f>"一次性使用鼻氧管"</f>
        <v>一次性使用鼻氧管</v>
      </c>
      <c r="B1014" t="str">
        <f>"CL300030868"</f>
        <v>CL300030868</v>
      </c>
      <c r="C1014" t="str">
        <f t="shared" si="395"/>
        <v>材料</v>
      </c>
      <c r="G1014">
        <v>2.5</v>
      </c>
      <c r="I1014" t="str">
        <f>"BYG-3D"</f>
        <v>BYG-3D</v>
      </c>
      <c r="K1014" t="str">
        <f>"YCXSYBYG"</f>
        <v>YCXSYBYG</v>
      </c>
      <c r="L1014" t="str">
        <f>"GUNWETRT"</f>
        <v>GUNWETRT</v>
      </c>
      <c r="M1014">
        <v>25</v>
      </c>
      <c r="O1014" t="str">
        <f>"套"</f>
        <v>套</v>
      </c>
      <c r="P1014" t="str">
        <f t="shared" si="396"/>
        <v>材料费</v>
      </c>
    </row>
    <row r="1015" spans="1:16">
      <c r="A1015" t="str">
        <f>"光固化复合树脂-A2牙体色"</f>
        <v>光固化复合树脂-A2牙体色</v>
      </c>
      <c r="B1015" t="str">
        <f>"CL300045075"</f>
        <v>CL300045075</v>
      </c>
      <c r="C1015" t="str">
        <f t="shared" si="395"/>
        <v>材料</v>
      </c>
      <c r="G1015">
        <v>9.2</v>
      </c>
      <c r="I1015" t="str">
        <f>"注射器装 4g/支"</f>
        <v>注射器装 4g/支</v>
      </c>
      <c r="K1015" t="str">
        <f>"GGHFHSZA2YTS"</f>
        <v>GGHFHSZA2YTS</v>
      </c>
      <c r="L1015" t="str">
        <f>"ILWTWSEA2AWQ"</f>
        <v>ILWTWSEA2AWQ</v>
      </c>
      <c r="M1015">
        <v>184</v>
      </c>
      <c r="O1015" t="str">
        <f t="shared" si="397"/>
        <v>袋</v>
      </c>
      <c r="P1015" t="str">
        <f t="shared" si="396"/>
        <v>材料费</v>
      </c>
    </row>
    <row r="1016" spans="1:16">
      <c r="A1016" t="str">
        <f>"光固化复合树脂-A3牙体色"</f>
        <v>光固化复合树脂-A3牙体色</v>
      </c>
      <c r="B1016" t="str">
        <f>"CL300045076"</f>
        <v>CL300045076</v>
      </c>
      <c r="C1016" t="str">
        <f t="shared" si="395"/>
        <v>材料</v>
      </c>
      <c r="G1016">
        <v>9.4</v>
      </c>
      <c r="I1016" t="str">
        <f>"注射器装 4g/支"</f>
        <v>注射器装 4g/支</v>
      </c>
      <c r="K1016" t="str">
        <f>"GGHFHSZA3YTS"</f>
        <v>GGHFHSZA3YTS</v>
      </c>
      <c r="L1016" t="str">
        <f>"ILWTWSEA3AWQ"</f>
        <v>ILWTWSEA3AWQ</v>
      </c>
      <c r="M1016">
        <v>188</v>
      </c>
      <c r="O1016" t="str">
        <f t="shared" si="397"/>
        <v>袋</v>
      </c>
      <c r="P1016" t="str">
        <f t="shared" si="396"/>
        <v>材料费</v>
      </c>
    </row>
    <row r="1017" spans="1:16">
      <c r="A1017" t="str">
        <f>"流动树脂-A3"</f>
        <v>流动树脂-A3</v>
      </c>
      <c r="B1017" t="str">
        <f>"CL300045079"</f>
        <v>CL300045079</v>
      </c>
      <c r="C1017" t="str">
        <f t="shared" si="395"/>
        <v>材料</v>
      </c>
      <c r="G1017">
        <v>7</v>
      </c>
      <c r="I1017" t="str">
        <f>"2g/支"</f>
        <v>2g/支</v>
      </c>
      <c r="K1017" t="str">
        <f>"LDSZA3"</f>
        <v>LDSZA3</v>
      </c>
      <c r="L1017" t="str">
        <f>"IFSEA3"</f>
        <v>IFSEA3</v>
      </c>
      <c r="M1017">
        <v>215</v>
      </c>
      <c r="O1017" t="str">
        <f>"支"</f>
        <v>支</v>
      </c>
      <c r="P1017" t="str">
        <f t="shared" si="396"/>
        <v>材料费</v>
      </c>
    </row>
    <row r="1018" spans="1:16">
      <c r="A1018" t="str">
        <f>"营养干预"</f>
        <v>营养干预</v>
      </c>
      <c r="B1018" t="str">
        <f>"FY0007"</f>
        <v>FY0007</v>
      </c>
      <c r="C1018" t="str">
        <f>"其他"</f>
        <v>其他</v>
      </c>
      <c r="G1018">
        <v>50</v>
      </c>
      <c r="I1018" t="str">
        <f t="shared" ref="I1018:I1022" si="398">"次"</f>
        <v>次</v>
      </c>
      <c r="K1018" t="str">
        <f>"YYGY"</f>
        <v>YYGY</v>
      </c>
      <c r="L1018" t="str">
        <f>"AUFC"</f>
        <v>AUFC</v>
      </c>
      <c r="M1018">
        <v>50</v>
      </c>
      <c r="N1018">
        <v>170200002</v>
      </c>
      <c r="O1018" t="str">
        <f>"次"</f>
        <v>次</v>
      </c>
      <c r="P1018" t="str">
        <f>"治疗费"</f>
        <v>治疗费</v>
      </c>
    </row>
    <row r="1019" spans="1:16">
      <c r="A1019" t="str">
        <f>"血清天门冬氨酸氨基转移酶测定（减免）"</f>
        <v>血清天门冬氨酸氨基转移酶测定（减免）</v>
      </c>
      <c r="B1019" t="str">
        <f>"FY0057"</f>
        <v>FY0057</v>
      </c>
      <c r="C1019" t="str">
        <f t="shared" ref="C1019:C1032" si="399">"检验"</f>
        <v>检验</v>
      </c>
      <c r="G1019" t="str">
        <f t="shared" ref="G1019:G1033" si="400">"0"</f>
        <v>0</v>
      </c>
      <c r="I1019" t="str">
        <f t="shared" si="398"/>
        <v>次</v>
      </c>
      <c r="K1019" t="str">
        <f>"XQTMDASAJZYMCDJM"</f>
        <v>XQTMDASAJZYMCDJM</v>
      </c>
      <c r="L1019" t="str">
        <f>"TIGUTRSRALTSIPUQ"</f>
        <v>TIGUTRSRALTSIPUQ</v>
      </c>
      <c r="M1019" t="str">
        <f t="shared" ref="M1019:M1032" si="401">"0"</f>
        <v>0</v>
      </c>
      <c r="N1019" t="str">
        <f>"250305008-b（JM）"</f>
        <v>250305008-b（JM）</v>
      </c>
      <c r="O1019" t="str">
        <f t="shared" ref="O1019:O1032" si="402">"项"</f>
        <v>项</v>
      </c>
      <c r="P1019" t="str">
        <f t="shared" ref="P1019:P1032" si="403">"检验费"</f>
        <v>检验费</v>
      </c>
    </row>
    <row r="1020" spans="1:16">
      <c r="A1020" t="str">
        <f>"乙肝两对半定性检测（减免）"</f>
        <v>乙肝两对半定性检测（减免）</v>
      </c>
      <c r="B1020" t="str">
        <f>"FY0066"</f>
        <v>FY0066</v>
      </c>
      <c r="C1020" t="str">
        <f t="shared" si="399"/>
        <v>检验</v>
      </c>
      <c r="G1020" t="str">
        <f t="shared" si="400"/>
        <v>0</v>
      </c>
      <c r="I1020" t="str">
        <f t="shared" si="398"/>
        <v>次</v>
      </c>
      <c r="K1020" t="str">
        <f>"YGLDBDXJCJM"</f>
        <v>YGLDBDXJCJM</v>
      </c>
      <c r="L1020" t="str">
        <f>"NEGCUPNSIUQ"</f>
        <v>NEGCUPNSIUQ</v>
      </c>
      <c r="M1020" t="str">
        <f t="shared" si="401"/>
        <v>0</v>
      </c>
      <c r="N1020" t="str">
        <f>"250900003（JM）"</f>
        <v>250900003（JM）</v>
      </c>
      <c r="O1020" t="str">
        <f>"套"</f>
        <v>套</v>
      </c>
      <c r="P1020" t="str">
        <f t="shared" si="403"/>
        <v>检验费</v>
      </c>
    </row>
    <row r="1021" spans="1:16">
      <c r="A1021" t="str">
        <f>"超声弹性成像"</f>
        <v>超声弹性成像</v>
      </c>
      <c r="B1021" t="str">
        <f>"FY0071"</f>
        <v>FY0071</v>
      </c>
      <c r="C1021" t="str">
        <f t="shared" ref="C1021:C1023" si="404">"检查"</f>
        <v>检查</v>
      </c>
      <c r="G1021">
        <v>44</v>
      </c>
      <c r="I1021" t="str">
        <f t="shared" si="398"/>
        <v>次</v>
      </c>
      <c r="K1021" t="str">
        <f>"CSDXCX"</f>
        <v>CSDXCX</v>
      </c>
      <c r="L1021" t="str">
        <f>"FFXNDW"</f>
        <v>FFXNDW</v>
      </c>
      <c r="M1021">
        <v>45</v>
      </c>
      <c r="N1021">
        <v>220302013</v>
      </c>
      <c r="O1021" t="str">
        <f>"次"</f>
        <v>次</v>
      </c>
      <c r="P1021" t="str">
        <f>"超声费"</f>
        <v>超声费</v>
      </c>
    </row>
    <row r="1022" spans="1:16">
      <c r="A1022" t="str">
        <f>"下肢肌肉力均衡性检测"</f>
        <v>下肢肌肉力均衡性检测</v>
      </c>
      <c r="B1022" t="str">
        <f>"FY0072"</f>
        <v>FY0072</v>
      </c>
      <c r="C1022" t="str">
        <f t="shared" si="404"/>
        <v>检查</v>
      </c>
      <c r="D1022" t="str">
        <f>"003101000220000"</f>
        <v>003101000220000</v>
      </c>
      <c r="G1022">
        <v>13</v>
      </c>
      <c r="I1022" t="str">
        <f t="shared" si="398"/>
        <v>次</v>
      </c>
      <c r="K1022" t="str">
        <f>"XZJRLJHXJC"</f>
        <v>XZJRLJHXJC</v>
      </c>
      <c r="L1022" t="str">
        <f>"GEEMLFTNSI"</f>
        <v>GEEMLFTNSI</v>
      </c>
      <c r="M1022">
        <v>13</v>
      </c>
      <c r="N1022" t="str">
        <f>"340200047-f"</f>
        <v>340200047-f</v>
      </c>
      <c r="O1022" t="str">
        <f t="shared" si="402"/>
        <v>项</v>
      </c>
      <c r="P1022" t="str">
        <f>"检查费"</f>
        <v>检查费</v>
      </c>
    </row>
    <row r="1023" spans="1:16">
      <c r="A1023" t="str">
        <f>"产前检查（免费）"</f>
        <v>产前检查（免费）</v>
      </c>
      <c r="B1023" t="str">
        <f>"JM0003"</f>
        <v>JM0003</v>
      </c>
      <c r="C1023" t="str">
        <f t="shared" si="404"/>
        <v>检查</v>
      </c>
      <c r="D1023" t="str">
        <f>"003112010230000"</f>
        <v>003112010230000</v>
      </c>
      <c r="G1023" t="str">
        <f t="shared" si="400"/>
        <v>0</v>
      </c>
      <c r="I1023" t="str">
        <f t="shared" ref="I1023:I1032" si="405">"项"</f>
        <v>项</v>
      </c>
      <c r="K1023" t="str">
        <f>"CQJCMF"</f>
        <v>CQJCMF</v>
      </c>
      <c r="L1023" t="str">
        <f>"UUSSQX"</f>
        <v>UUSSQX</v>
      </c>
      <c r="M1023" t="str">
        <f t="shared" si="401"/>
        <v>0</v>
      </c>
      <c r="N1023" t="str">
        <f>"311201023(JM)"</f>
        <v>311201023(JM)</v>
      </c>
      <c r="O1023" t="str">
        <f t="shared" si="402"/>
        <v>项</v>
      </c>
      <c r="P1023" t="str">
        <f>"检查费"</f>
        <v>检查费</v>
      </c>
    </row>
    <row r="1024" spans="1:16">
      <c r="A1024" t="str">
        <f>"尿液分析(使用抗维生C试剂条加收)(免费)"</f>
        <v>尿液分析(使用抗维生C试剂条加收)(免费)</v>
      </c>
      <c r="B1024" t="str">
        <f>"JM0008"</f>
        <v>JM0008</v>
      </c>
      <c r="C1024" t="str">
        <f t="shared" si="399"/>
        <v>检验</v>
      </c>
      <c r="D1024" t="str">
        <f>"002501020350000"</f>
        <v>002501020350000</v>
      </c>
      <c r="G1024" t="str">
        <f t="shared" si="400"/>
        <v>0</v>
      </c>
      <c r="I1024" t="str">
        <f t="shared" si="405"/>
        <v>项</v>
      </c>
      <c r="K1024" t="str">
        <f>"NYFXSYKWSCSJTJSM"</f>
        <v>NYFXSYKWSCSJTJSM</v>
      </c>
      <c r="L1024" t="str">
        <f>"NIWSWERXTCYYTLNQ"</f>
        <v>NIWSWERXTCYYTLNQ</v>
      </c>
      <c r="M1024" t="str">
        <f t="shared" si="401"/>
        <v>0</v>
      </c>
      <c r="N1024" t="str">
        <f>"250102035-a(JM)"</f>
        <v>250102035-a(JM)</v>
      </c>
      <c r="O1024" t="str">
        <f t="shared" si="402"/>
        <v>项</v>
      </c>
      <c r="P1024" t="str">
        <f t="shared" si="403"/>
        <v>检验费</v>
      </c>
    </row>
    <row r="1025" spans="1:16">
      <c r="A1025" t="str">
        <f>"血清白蛋白测定（免费）"</f>
        <v>血清白蛋白测定（免费）</v>
      </c>
      <c r="B1025" t="str">
        <f>"JM0009"</f>
        <v>JM0009</v>
      </c>
      <c r="C1025" t="str">
        <f t="shared" si="399"/>
        <v>检验</v>
      </c>
      <c r="G1025" t="str">
        <f t="shared" si="400"/>
        <v>0</v>
      </c>
      <c r="I1025" t="str">
        <f t="shared" si="405"/>
        <v>项</v>
      </c>
      <c r="K1025" t="str">
        <f>"XQBDBCDMF"</f>
        <v>XQBDBCDMF</v>
      </c>
      <c r="L1025" t="str">
        <f>"TIRNRIPQX"</f>
        <v>TIRNRIPQX</v>
      </c>
      <c r="M1025" t="str">
        <f t="shared" si="401"/>
        <v>0</v>
      </c>
      <c r="N1025" t="str">
        <f>"250301002-a(JM)"</f>
        <v>250301002-a(JM)</v>
      </c>
      <c r="O1025" t="str">
        <f t="shared" si="402"/>
        <v>项</v>
      </c>
      <c r="P1025" t="str">
        <f t="shared" si="403"/>
        <v>检验费</v>
      </c>
    </row>
    <row r="1026" spans="1:16">
      <c r="A1026" t="str">
        <f>"血清总胆红素测定（免费）"</f>
        <v>血清总胆红素测定（免费）</v>
      </c>
      <c r="B1026" t="str">
        <f>"JM0010"</f>
        <v>JM0010</v>
      </c>
      <c r="C1026" t="str">
        <f t="shared" si="399"/>
        <v>检验</v>
      </c>
      <c r="G1026" t="str">
        <f t="shared" si="400"/>
        <v>0</v>
      </c>
      <c r="I1026" t="str">
        <f t="shared" si="405"/>
        <v>项</v>
      </c>
      <c r="K1026" t="str">
        <f>"XQZDHSCDMF"</f>
        <v>XQZDHSCDMF</v>
      </c>
      <c r="L1026" t="str">
        <f>"TIUEXGIPQX"</f>
        <v>TIUEXGIPQX</v>
      </c>
      <c r="M1026" t="str">
        <f t="shared" si="401"/>
        <v>0</v>
      </c>
      <c r="N1026" t="str">
        <f>"250305001(JM)"</f>
        <v>250305001(JM)</v>
      </c>
      <c r="O1026" t="str">
        <f t="shared" si="402"/>
        <v>项</v>
      </c>
      <c r="P1026" t="str">
        <f t="shared" si="403"/>
        <v>检验费</v>
      </c>
    </row>
    <row r="1027" spans="1:16">
      <c r="A1027" t="str">
        <f>"血清直接胆红素测定（免费）"</f>
        <v>血清直接胆红素测定（免费）</v>
      </c>
      <c r="B1027" t="str">
        <f>"JM0011"</f>
        <v>JM0011</v>
      </c>
      <c r="C1027" t="str">
        <f t="shared" si="399"/>
        <v>检验</v>
      </c>
      <c r="G1027" t="str">
        <f t="shared" si="400"/>
        <v>0</v>
      </c>
      <c r="I1027" t="str">
        <f t="shared" si="405"/>
        <v>项</v>
      </c>
      <c r="K1027" t="str">
        <f>"XQZJDHSCDMF"</f>
        <v>XQZJDHSCDMF</v>
      </c>
      <c r="L1027" t="str">
        <f>"TIFREXGIPQX"</f>
        <v>TIFREXGIPQX</v>
      </c>
      <c r="M1027" t="str">
        <f t="shared" si="401"/>
        <v>0</v>
      </c>
      <c r="N1027" t="str">
        <f>"250305002(JM)"</f>
        <v>250305002(JM)</v>
      </c>
      <c r="O1027" t="str">
        <f t="shared" si="402"/>
        <v>项</v>
      </c>
      <c r="P1027" t="str">
        <f t="shared" si="403"/>
        <v>检验费</v>
      </c>
    </row>
    <row r="1028" spans="1:16">
      <c r="A1028" t="str">
        <f>"血清丙氨酸氨基转移酶测定（免费）"</f>
        <v>血清丙氨酸氨基转移酶测定（免费）</v>
      </c>
      <c r="B1028" t="str">
        <f>"JM0012"</f>
        <v>JM0012</v>
      </c>
      <c r="C1028" t="str">
        <f t="shared" si="399"/>
        <v>检验</v>
      </c>
      <c r="G1028" t="str">
        <f t="shared" si="400"/>
        <v>0</v>
      </c>
      <c r="I1028" t="str">
        <f t="shared" si="405"/>
        <v>项</v>
      </c>
      <c r="K1028" t="str">
        <f>"XQBASAJZYMCDMF"</f>
        <v>XQBASAJZYMCDMF</v>
      </c>
      <c r="L1028" t="str">
        <f>"TIGRSRALTSIPQX"</f>
        <v>TIGRSRALTSIPQX</v>
      </c>
      <c r="M1028" t="str">
        <f t="shared" si="401"/>
        <v>0</v>
      </c>
      <c r="N1028" t="str">
        <f>"250305007(JM)"</f>
        <v>250305007(JM)</v>
      </c>
      <c r="O1028" t="str">
        <f t="shared" si="402"/>
        <v>项</v>
      </c>
      <c r="P1028" t="str">
        <f t="shared" si="403"/>
        <v>检验费</v>
      </c>
    </row>
    <row r="1029" spans="1:16">
      <c r="A1029" t="str">
        <f>"尿素测定（免费）"</f>
        <v>尿素测定（免费）</v>
      </c>
      <c r="B1029" t="str">
        <f>"JM0014"</f>
        <v>JM0014</v>
      </c>
      <c r="C1029" t="str">
        <f t="shared" si="399"/>
        <v>检验</v>
      </c>
      <c r="G1029" t="str">
        <f t="shared" si="400"/>
        <v>0</v>
      </c>
      <c r="I1029" t="str">
        <f t="shared" si="405"/>
        <v>项</v>
      </c>
      <c r="K1029" t="str">
        <f>"NSCDMF"</f>
        <v>NSCDMF</v>
      </c>
      <c r="L1029" t="str">
        <f>"NGIPQX"</f>
        <v>NGIPQX</v>
      </c>
      <c r="M1029" t="str">
        <f t="shared" si="401"/>
        <v>0</v>
      </c>
      <c r="N1029" t="str">
        <f>"250307001（JM）"</f>
        <v>250307001（JM）</v>
      </c>
      <c r="O1029" t="str">
        <f t="shared" si="402"/>
        <v>项</v>
      </c>
      <c r="P1029" t="str">
        <f t="shared" si="403"/>
        <v>检验费</v>
      </c>
    </row>
    <row r="1030" spans="1:16">
      <c r="A1030" t="str">
        <f>"肌酐测定（免费）"</f>
        <v>肌酐测定（免费）</v>
      </c>
      <c r="B1030" t="str">
        <f>"JM0015"</f>
        <v>JM0015</v>
      </c>
      <c r="C1030" t="str">
        <f t="shared" si="399"/>
        <v>检验</v>
      </c>
      <c r="G1030" t="str">
        <f t="shared" si="400"/>
        <v>0</v>
      </c>
      <c r="I1030" t="str">
        <f t="shared" si="405"/>
        <v>项</v>
      </c>
      <c r="K1030" t="str">
        <f>"JCDMF"</f>
        <v>JCDMF</v>
      </c>
      <c r="L1030" t="str">
        <f>"ESIPQX"</f>
        <v>ESIPQX</v>
      </c>
      <c r="M1030" t="str">
        <f t="shared" si="401"/>
        <v>0</v>
      </c>
      <c r="O1030" t="str">
        <f t="shared" si="402"/>
        <v>项</v>
      </c>
      <c r="P1030" t="str">
        <f t="shared" si="403"/>
        <v>检验费</v>
      </c>
    </row>
    <row r="1031" spans="1:16">
      <c r="A1031" t="str">
        <f>"乙型肝炎表面抗原测定(HBsAg)"</f>
        <v>乙型肝炎表面抗原测定(HBsAg)</v>
      </c>
      <c r="B1031" t="str">
        <f>"JM0017"</f>
        <v>JM0017</v>
      </c>
      <c r="C1031" t="str">
        <f t="shared" si="399"/>
        <v>检验</v>
      </c>
      <c r="D1031" t="str">
        <f>"002504030040000"</f>
        <v>002504030040000</v>
      </c>
      <c r="G1031" t="str">
        <f t="shared" si="400"/>
        <v>0</v>
      </c>
      <c r="I1031" t="str">
        <f t="shared" si="405"/>
        <v>项</v>
      </c>
      <c r="K1031" t="str">
        <f>"YXGYBMKYCDHBSAG"</f>
        <v>YXGYBMKYCDHBSAG</v>
      </c>
      <c r="L1031" t="str">
        <f>"NGEOGDRDIPHBSAG"</f>
        <v>NGEOGDRDIPHBSAG</v>
      </c>
      <c r="M1031" t="str">
        <f t="shared" si="401"/>
        <v>0</v>
      </c>
      <c r="N1031" t="str">
        <f>"250403004（JM）"</f>
        <v>250403004（JM）</v>
      </c>
      <c r="O1031" t="str">
        <f t="shared" si="402"/>
        <v>项</v>
      </c>
      <c r="P1031" t="str">
        <f t="shared" si="403"/>
        <v>检验费</v>
      </c>
    </row>
    <row r="1032" spans="1:16">
      <c r="A1032" t="str">
        <f>"ABO血型鉴定"</f>
        <v>ABO血型鉴定</v>
      </c>
      <c r="B1032" t="str">
        <f>"JM0022"</f>
        <v>JM0022</v>
      </c>
      <c r="C1032" t="str">
        <f t="shared" si="399"/>
        <v>检验</v>
      </c>
      <c r="D1032" t="str">
        <f>"002600000020000"</f>
        <v>002600000020000</v>
      </c>
      <c r="G1032" t="str">
        <f t="shared" si="400"/>
        <v>0</v>
      </c>
      <c r="I1032" t="str">
        <f t="shared" si="405"/>
        <v>项</v>
      </c>
      <c r="K1032" t="str">
        <f>"ABOXXJD"</f>
        <v>ABOXXJD</v>
      </c>
      <c r="L1032" t="str">
        <f>"ABOTGJP"</f>
        <v>ABOTGJP</v>
      </c>
      <c r="M1032" t="str">
        <f t="shared" si="401"/>
        <v>0</v>
      </c>
      <c r="N1032" t="str">
        <f>"260000002（JM）"</f>
        <v>260000002（JM）</v>
      </c>
      <c r="O1032" t="str">
        <f t="shared" si="402"/>
        <v>项</v>
      </c>
      <c r="P1032" t="str">
        <f t="shared" si="403"/>
        <v>检验费</v>
      </c>
    </row>
    <row r="1033" spans="1:16">
      <c r="A1033" t="str">
        <f>"骨密度测定（签约）"</f>
        <v>骨密度测定（签约）</v>
      </c>
      <c r="B1033" t="str">
        <f>"JM0023"</f>
        <v>JM0023</v>
      </c>
      <c r="C1033" t="str">
        <f>"检查"</f>
        <v>检查</v>
      </c>
      <c r="D1033" t="str">
        <f>"002302000550000"</f>
        <v>002302000550000</v>
      </c>
      <c r="G1033" t="str">
        <f t="shared" si="400"/>
        <v>0</v>
      </c>
      <c r="I1033" t="str">
        <f t="shared" ref="I1033:I1037" si="406">"/"</f>
        <v>/</v>
      </c>
      <c r="K1033" t="str">
        <f>"GMDCDQY"</f>
        <v>GMDCDQY</v>
      </c>
      <c r="L1033" t="str">
        <f>"MPYIPTX"</f>
        <v>MPYIPTX</v>
      </c>
      <c r="M1033">
        <v>24</v>
      </c>
      <c r="N1033" t="str">
        <f>"230200055(JM)"</f>
        <v>230200055(JM)</v>
      </c>
      <c r="O1033" t="str">
        <f t="shared" ref="O1033:O1035" si="407">"次"</f>
        <v>次</v>
      </c>
      <c r="P1033" t="str">
        <f>"检查费"</f>
        <v>检查费</v>
      </c>
    </row>
    <row r="1034" spans="1:16">
      <c r="A1034" t="str">
        <f>"感觉阈值测量（签约）"</f>
        <v>感觉阈值测量（签约）</v>
      </c>
      <c r="B1034" t="str">
        <f>"JM0024"</f>
        <v>JM0024</v>
      </c>
      <c r="C1034" t="str">
        <f t="shared" ref="C1034:C1037" si="408">"治疗"</f>
        <v>治疗</v>
      </c>
      <c r="D1034" t="str">
        <f>"003101000150000"</f>
        <v>003101000150000</v>
      </c>
      <c r="G1034">
        <v>6</v>
      </c>
      <c r="I1034" t="str">
        <f t="shared" si="406"/>
        <v>/</v>
      </c>
      <c r="K1034" t="str">
        <f>"GJZCLQY"</f>
        <v>GJZCLQY</v>
      </c>
      <c r="L1034" t="str">
        <f>"DIUWIJTX"</f>
        <v>DIUWIJTX</v>
      </c>
      <c r="M1034">
        <v>6</v>
      </c>
      <c r="N1034" t="str">
        <f>"310100015(JM)"</f>
        <v>310100015(JM)</v>
      </c>
      <c r="O1034" t="str">
        <f t="shared" si="407"/>
        <v>次</v>
      </c>
      <c r="P1034" t="str">
        <f t="shared" ref="P1034:P1037" si="409">"治疗费"</f>
        <v>治疗费</v>
      </c>
    </row>
    <row r="1035" spans="1:16">
      <c r="A1035" t="str">
        <f>"血同型半胱氨酸测定各种免疫学方法（签约）"</f>
        <v>血同型半胱氨酸测定各种免疫学方法（签约）</v>
      </c>
      <c r="B1035" t="str">
        <f>"JM0026"</f>
        <v>JM0026</v>
      </c>
      <c r="C1035" t="str">
        <f t="shared" si="408"/>
        <v>治疗</v>
      </c>
      <c r="D1035" t="str">
        <f>"002503060110000"</f>
        <v>002503060110000</v>
      </c>
      <c r="G1035">
        <v>56</v>
      </c>
      <c r="I1035" t="str">
        <f t="shared" si="406"/>
        <v>/</v>
      </c>
      <c r="K1035" t="str">
        <f>"XTXBASCDGZMYXFFQ"</f>
        <v>XTXBASCDGZMYXFFQ</v>
      </c>
      <c r="L1035" t="str">
        <f>"TMGUERSIPTTQUIYI"</f>
        <v>TMGUERSIPTTQUIYI</v>
      </c>
      <c r="M1035">
        <v>56</v>
      </c>
      <c r="N1035" t="str">
        <f>"250306011(JM)"</f>
        <v>250306011(JM)</v>
      </c>
      <c r="O1035" t="str">
        <f t="shared" si="407"/>
        <v>次</v>
      </c>
      <c r="P1035" t="str">
        <f t="shared" si="409"/>
        <v>治疗费</v>
      </c>
    </row>
    <row r="1036" spans="1:16">
      <c r="A1036" t="str">
        <f>"动态血压监测（签约）"</f>
        <v>动态血压监测（签约）</v>
      </c>
      <c r="B1036" t="str">
        <f>"JM0027"</f>
        <v>JM0027</v>
      </c>
      <c r="C1036" t="str">
        <f t="shared" si="408"/>
        <v>治疗</v>
      </c>
      <c r="D1036" t="str">
        <f>"003107010210000"</f>
        <v>003107010210000</v>
      </c>
      <c r="G1036">
        <v>5</v>
      </c>
      <c r="I1036" t="str">
        <f t="shared" si="406"/>
        <v>/</v>
      </c>
      <c r="K1036" t="str">
        <f>"DTXYJCQY"</f>
        <v>DTXYJCQY</v>
      </c>
      <c r="L1036" t="str">
        <f>"FDTDJITX"</f>
        <v>FDTDJITX</v>
      </c>
      <c r="M1036">
        <v>5</v>
      </c>
      <c r="N1036" t="str">
        <f>"310701021(JM)"</f>
        <v>310701021(JM)</v>
      </c>
      <c r="O1036" t="str">
        <f>"小时"</f>
        <v>小时</v>
      </c>
      <c r="P1036" t="str">
        <f t="shared" si="409"/>
        <v>治疗费</v>
      </c>
    </row>
    <row r="1037" spans="1:16">
      <c r="A1037" t="str">
        <f>"糖化血红蛋白（色谱法）测定（签约）"</f>
        <v>糖化血红蛋白（色谱法）测定（签约）</v>
      </c>
      <c r="B1037" t="str">
        <f>"JM0028"</f>
        <v>JM0028</v>
      </c>
      <c r="C1037" t="str">
        <f t="shared" si="408"/>
        <v>治疗</v>
      </c>
      <c r="D1037" t="str">
        <f>"002503020030000"</f>
        <v>002503020030000</v>
      </c>
      <c r="G1037">
        <v>27</v>
      </c>
      <c r="I1037" t="str">
        <f t="shared" si="406"/>
        <v>/</v>
      </c>
      <c r="K1037" t="str">
        <f>"THXHDBSPFCDQY"</f>
        <v>THXHDBSPFCDQY</v>
      </c>
      <c r="L1037" t="str">
        <f>"OWTXNRQYIIPTX"</f>
        <v>OWTXNRQYIIPTX</v>
      </c>
      <c r="M1037">
        <v>52</v>
      </c>
      <c r="N1037" t="str">
        <f>"250302003-a（JM）"</f>
        <v>250302003-a（JM）</v>
      </c>
      <c r="O1037" t="str">
        <f t="shared" ref="O1037:O1045" si="410">"项"</f>
        <v>项</v>
      </c>
      <c r="P1037" t="str">
        <f t="shared" si="409"/>
        <v>治疗费</v>
      </c>
    </row>
    <row r="1038" spans="1:16">
      <c r="A1038" t="str">
        <f>"艾滋病抗体测定(妇科减免）"</f>
        <v>艾滋病抗体测定(妇科减免）</v>
      </c>
      <c r="B1038" t="str">
        <f>"JM0030"</f>
        <v>JM0030</v>
      </c>
      <c r="C1038" t="str">
        <f t="shared" ref="C1038:C1044" si="411">"检验"</f>
        <v>检验</v>
      </c>
      <c r="D1038" t="str">
        <f>"002504030350000"</f>
        <v>002504030350000</v>
      </c>
      <c r="G1038">
        <v>30</v>
      </c>
      <c r="I1038" t="str">
        <f t="shared" ref="I1038:I1045" si="412">"项"</f>
        <v>项</v>
      </c>
      <c r="K1038" t="str">
        <f>"AZBKTCDFKJM"</f>
        <v>AZBKTCDFKJM</v>
      </c>
      <c r="L1038" t="str">
        <f>"AIURWIPVTUQ"</f>
        <v>AIURWIPVTUQ</v>
      </c>
      <c r="M1038">
        <v>30</v>
      </c>
      <c r="N1038" t="str">
        <f>"250403019-d(JM)"</f>
        <v>250403019-d(JM)</v>
      </c>
      <c r="O1038" t="str">
        <f t="shared" si="410"/>
        <v>项</v>
      </c>
      <c r="P1038" t="str">
        <f t="shared" ref="P1038:P1044" si="413">"检验费"</f>
        <v>检验费</v>
      </c>
    </row>
    <row r="1039" spans="1:16">
      <c r="A1039" t="str">
        <f>"梅毒螺旋体特异抗体测定（凝集法）"</f>
        <v>梅毒螺旋体特异抗体测定（凝集法）</v>
      </c>
      <c r="B1039" t="str">
        <f>"JM0031"</f>
        <v>JM0031</v>
      </c>
      <c r="C1039" t="str">
        <f t="shared" si="411"/>
        <v>检验</v>
      </c>
      <c r="D1039" t="str">
        <f>"002504030530000"</f>
        <v>002504030530000</v>
      </c>
      <c r="G1039">
        <v>15</v>
      </c>
      <c r="I1039" t="str">
        <f t="shared" si="412"/>
        <v>项</v>
      </c>
      <c r="K1039" t="str">
        <f>"MDLXTTYKTCDNJF"</f>
        <v>MDLXTTYKTCDNJF</v>
      </c>
      <c r="L1039" t="str">
        <f>"SGJYWTNRWIPUWI"</f>
        <v>SGJYWTNRWIPUWI</v>
      </c>
      <c r="M1039">
        <v>15</v>
      </c>
      <c r="N1039" t="str">
        <f>"250403053(JM)"</f>
        <v>250403053(JM)</v>
      </c>
      <c r="O1039" t="str">
        <f t="shared" si="410"/>
        <v>项</v>
      </c>
      <c r="P1039" t="str">
        <f t="shared" si="413"/>
        <v>检验费</v>
      </c>
    </row>
    <row r="1040" spans="1:16">
      <c r="A1040" t="str">
        <f>"乙型肝炎表面抗原测定(HBsAg)ELISA法（妇科减免）"</f>
        <v>乙型肝炎表面抗原测定(HBsAg)ELISA法（妇科减免）</v>
      </c>
      <c r="B1040" t="str">
        <f>"JM0032"</f>
        <v>JM0032</v>
      </c>
      <c r="C1040" t="str">
        <f t="shared" si="411"/>
        <v>检验</v>
      </c>
      <c r="D1040" t="str">
        <f>"002504030040000"</f>
        <v>002504030040000</v>
      </c>
      <c r="G1040" t="str">
        <f t="shared" ref="G1040:G1044" si="414">"0"</f>
        <v>0</v>
      </c>
      <c r="I1040" t="str">
        <f t="shared" si="412"/>
        <v>项</v>
      </c>
      <c r="K1040" t="str">
        <f>"YXGYBMKYCDHBSAGE"</f>
        <v>YXGYBMKYCDHBSAGE</v>
      </c>
      <c r="L1040" t="str">
        <f>"NGEOGDRDIPHBSAGE"</f>
        <v>NGEOGDRDIPHBSAGE</v>
      </c>
      <c r="M1040" t="str">
        <f t="shared" ref="M1040:M1044" si="415">"0"</f>
        <v>0</v>
      </c>
      <c r="N1040" t="str">
        <f>"250403004(JM)"</f>
        <v>250403004(JM)</v>
      </c>
      <c r="O1040" t="str">
        <f t="shared" si="410"/>
        <v>项</v>
      </c>
      <c r="P1040" t="str">
        <f t="shared" si="413"/>
        <v>检验费</v>
      </c>
    </row>
    <row r="1041" spans="1:16">
      <c r="A1041" t="str">
        <f>"乙型肝炎表面抗体测定(Anti-HBs)ELISA法（妇科减免）"</f>
        <v>乙型肝炎表面抗体测定(Anti-HBs)ELISA法（妇科减免）</v>
      </c>
      <c r="B1041" t="str">
        <f>"JM0033"</f>
        <v>JM0033</v>
      </c>
      <c r="C1041" t="str">
        <f t="shared" si="411"/>
        <v>检验</v>
      </c>
      <c r="D1041" t="str">
        <f>"002504030050000"</f>
        <v>002504030050000</v>
      </c>
      <c r="G1041" t="str">
        <f t="shared" si="414"/>
        <v>0</v>
      </c>
      <c r="I1041" t="str">
        <f t="shared" si="412"/>
        <v>项</v>
      </c>
      <c r="K1041" t="str">
        <f>"YXGYBMKTCDANTIHB"</f>
        <v>YXGYBMKTCDANTIHB</v>
      </c>
      <c r="L1041" t="str">
        <f>"NGEOGDRWIPANTIHB"</f>
        <v>NGEOGDRWIPANTIHB</v>
      </c>
      <c r="M1041" t="str">
        <f t="shared" si="415"/>
        <v>0</v>
      </c>
      <c r="N1041" t="str">
        <f>"250403005(JM)"</f>
        <v>250403005(JM)</v>
      </c>
      <c r="O1041" t="str">
        <f t="shared" si="410"/>
        <v>项</v>
      </c>
      <c r="P1041" t="str">
        <f t="shared" si="413"/>
        <v>检验费</v>
      </c>
    </row>
    <row r="1042" spans="1:16">
      <c r="A1042" t="str">
        <f>"乙型肝炎e抗原测定(HBeAg)（免疫学法）（妇科减免）"</f>
        <v>乙型肝炎e抗原测定(HBeAg)（免疫学法）（妇科减免）</v>
      </c>
      <c r="B1042" t="str">
        <f>"JM0034"</f>
        <v>JM0034</v>
      </c>
      <c r="C1042" t="str">
        <f t="shared" si="411"/>
        <v>检验</v>
      </c>
      <c r="D1042" t="str">
        <f>"002504030060000"</f>
        <v>002504030060000</v>
      </c>
      <c r="G1042" t="str">
        <f t="shared" si="414"/>
        <v>0</v>
      </c>
      <c r="I1042" t="str">
        <f t="shared" si="412"/>
        <v>项</v>
      </c>
      <c r="K1042" t="str">
        <f>"YXGYEKYCDHBEAGMY"</f>
        <v>YXGYEKYCDHBEAGMY</v>
      </c>
      <c r="L1042" t="str">
        <f>"NGEOERDIPHBEAGQU"</f>
        <v>NGEOERDIPHBEAGQU</v>
      </c>
      <c r="M1042" t="str">
        <f t="shared" si="415"/>
        <v>0</v>
      </c>
      <c r="N1042" t="str">
        <f>"250403006(JM)"</f>
        <v>250403006(JM)</v>
      </c>
      <c r="O1042" t="str">
        <f t="shared" si="410"/>
        <v>项</v>
      </c>
      <c r="P1042" t="str">
        <f t="shared" si="413"/>
        <v>检验费</v>
      </c>
    </row>
    <row r="1043" spans="1:16">
      <c r="A1043" t="str">
        <f>"乙型肝炎e抗体测定(Anti-HBe)免疫学法（妇科减免）"</f>
        <v>乙型肝炎e抗体测定(Anti-HBe)免疫学法（妇科减免）</v>
      </c>
      <c r="B1043" t="str">
        <f>"JM0035"</f>
        <v>JM0035</v>
      </c>
      <c r="C1043" t="str">
        <f t="shared" si="411"/>
        <v>检验</v>
      </c>
      <c r="D1043" t="str">
        <f>"002504030070000"</f>
        <v>002504030070000</v>
      </c>
      <c r="G1043" t="str">
        <f t="shared" si="414"/>
        <v>0</v>
      </c>
      <c r="I1043" t="str">
        <f t="shared" si="412"/>
        <v>项</v>
      </c>
      <c r="K1043" t="str">
        <f>"YXGYEKTCDANTIHBE"</f>
        <v>YXGYEKTCDANTIHBE</v>
      </c>
      <c r="L1043" t="str">
        <f>"NGEOERWIPANTIHBE"</f>
        <v>NGEOERWIPANTIHBE</v>
      </c>
      <c r="M1043" t="str">
        <f t="shared" si="415"/>
        <v>0</v>
      </c>
      <c r="N1043" t="str">
        <f>"250403007(JM)"</f>
        <v>250403007(JM)</v>
      </c>
      <c r="O1043" t="str">
        <f t="shared" si="410"/>
        <v>项</v>
      </c>
      <c r="P1043" t="str">
        <f t="shared" si="413"/>
        <v>检验费</v>
      </c>
    </row>
    <row r="1044" spans="1:16">
      <c r="A1044" t="str">
        <f>"乙型肝炎核心抗体测定(IgM)(Anti-HBc)ELISA法（妇科减免）"</f>
        <v>乙型肝炎核心抗体测定(IgM)(Anti-HBc)ELISA法（妇科减免）</v>
      </c>
      <c r="B1044" t="str">
        <f>"JM0036"</f>
        <v>JM0036</v>
      </c>
      <c r="C1044" t="str">
        <f t="shared" si="411"/>
        <v>检验</v>
      </c>
      <c r="G1044" t="str">
        <f t="shared" si="414"/>
        <v>0</v>
      </c>
      <c r="I1044" t="str">
        <f t="shared" si="412"/>
        <v>项</v>
      </c>
      <c r="K1044" t="str">
        <f>"YXGYHXKTCDIGMANT"</f>
        <v>YXGYHXKTCDIGMANT</v>
      </c>
      <c r="L1044" t="str">
        <f>"NGEOSNRWIPIGMANT"</f>
        <v>NGEOSNRWIPIGMANT</v>
      </c>
      <c r="M1044" t="str">
        <f t="shared" si="415"/>
        <v>0</v>
      </c>
      <c r="N1044" t="str">
        <f>"250403009(JM)"</f>
        <v>250403009(JM)</v>
      </c>
      <c r="O1044" t="str">
        <f t="shared" si="410"/>
        <v>项</v>
      </c>
      <c r="P1044" t="str">
        <f t="shared" si="413"/>
        <v>检验费</v>
      </c>
    </row>
    <row r="1045" spans="1:16">
      <c r="A1045" t="str">
        <f>"家庭医生签约基本服务包"</f>
        <v>家庭医生签约基本服务包</v>
      </c>
      <c r="B1045" t="str">
        <f>"JM0072"</f>
        <v>JM0072</v>
      </c>
      <c r="C1045" t="str">
        <f>"其他"</f>
        <v>其他</v>
      </c>
      <c r="D1045" t="str">
        <f>"321500000140000"</f>
        <v>321500000140000</v>
      </c>
      <c r="G1045">
        <v>15</v>
      </c>
      <c r="I1045" t="str">
        <f t="shared" si="412"/>
        <v>项</v>
      </c>
      <c r="K1045" t="str">
        <f>"JTYSQYJBFWB"</f>
        <v>JTYSQYJBFWB</v>
      </c>
      <c r="L1045" t="str">
        <f>"PYATTXASETQ"</f>
        <v>PYATTXASETQ</v>
      </c>
      <c r="M1045">
        <v>15</v>
      </c>
      <c r="O1045" t="str">
        <f t="shared" si="410"/>
        <v>项</v>
      </c>
      <c r="P1045" t="str">
        <f>"签约服务费"</f>
        <v>签约服务费</v>
      </c>
    </row>
    <row r="1046" spans="1:16">
      <c r="A1046" t="str">
        <f>"葡萄糖测定（免费）"</f>
        <v>葡萄糖测定（免费）</v>
      </c>
      <c r="B1046" t="str">
        <f>"JM0085"</f>
        <v>JM0085</v>
      </c>
      <c r="C1046" t="str">
        <f t="shared" ref="C1046:C1048" si="416">"检验"</f>
        <v>检验</v>
      </c>
      <c r="G1046" t="str">
        <f t="shared" ref="G1046:G1050" si="417">"0"</f>
        <v>0</v>
      </c>
      <c r="I1046" t="str">
        <f>"次"</f>
        <v>次</v>
      </c>
      <c r="K1046" t="str">
        <f>"PTTCDMF"</f>
        <v>PTTCDMF</v>
      </c>
      <c r="L1046" t="str">
        <f>"AAOIPQX"</f>
        <v>AAOIPQX</v>
      </c>
      <c r="M1046" t="str">
        <f t="shared" ref="M1046:M1050" si="418">"0"</f>
        <v>0</v>
      </c>
      <c r="O1046" t="str">
        <f>"次"</f>
        <v>次</v>
      </c>
      <c r="P1046" t="str">
        <f t="shared" ref="P1046:P1048" si="419">"检验费"</f>
        <v>检验费</v>
      </c>
    </row>
    <row r="1047" spans="1:16">
      <c r="A1047" t="str">
        <f>"梅毒螺旋体特异抗体测定（生育）"</f>
        <v>梅毒螺旋体特异抗体测定（生育）</v>
      </c>
      <c r="B1047" t="str">
        <f>"JM0086"</f>
        <v>JM0086</v>
      </c>
      <c r="C1047" t="str">
        <f t="shared" si="416"/>
        <v>检验</v>
      </c>
      <c r="G1047" t="str">
        <f t="shared" si="417"/>
        <v>0</v>
      </c>
      <c r="I1047" t="str">
        <f t="shared" ref="I1047:I1049" si="420">"项"</f>
        <v>项</v>
      </c>
      <c r="K1047" t="str">
        <f>"MDLXTTYKTCDSY"</f>
        <v>MDLXTTYKTCDSY</v>
      </c>
      <c r="L1047" t="str">
        <f>"SGJYWTNRWIPTY"</f>
        <v>SGJYWTNRWIPTY</v>
      </c>
      <c r="M1047">
        <v>20</v>
      </c>
      <c r="N1047" t="str">
        <f>"250403053(JM)"</f>
        <v>250403053(JM)</v>
      </c>
      <c r="O1047" t="str">
        <f t="shared" ref="O1047:O1050" si="421">"项"</f>
        <v>项</v>
      </c>
      <c r="P1047" t="str">
        <f t="shared" si="419"/>
        <v>检验费</v>
      </c>
    </row>
    <row r="1048" spans="1:16">
      <c r="A1048" t="str">
        <f>"血细胞五分类（签约包专用）"</f>
        <v>血细胞五分类（签约包专用）</v>
      </c>
      <c r="B1048" t="str">
        <f>"JM0089"</f>
        <v>JM0089</v>
      </c>
      <c r="C1048" t="str">
        <f t="shared" si="416"/>
        <v>检验</v>
      </c>
      <c r="D1048" t="str">
        <f>"002501010150000"</f>
        <v>002501010150000</v>
      </c>
      <c r="G1048">
        <v>13</v>
      </c>
      <c r="I1048" t="str">
        <f t="shared" si="420"/>
        <v>项</v>
      </c>
      <c r="K1048" t="str">
        <f>"XXBWFLQYBZY"</f>
        <v>XXBWFLQYBZY</v>
      </c>
      <c r="L1048" t="str">
        <f>"TXEGWOTXQFE"</f>
        <v>TXEGWOTXQFE</v>
      </c>
      <c r="M1048">
        <v>13</v>
      </c>
      <c r="O1048" t="str">
        <f t="shared" si="421"/>
        <v>项</v>
      </c>
      <c r="P1048" t="str">
        <f t="shared" si="419"/>
        <v>检验费</v>
      </c>
    </row>
    <row r="1049" spans="1:16">
      <c r="A1049" t="str">
        <f>"儿童生长发育评估"</f>
        <v>儿童生长发育评估</v>
      </c>
      <c r="B1049" t="str">
        <f>"JM0093"</f>
        <v>JM0093</v>
      </c>
      <c r="C1049" t="str">
        <f>"检查"</f>
        <v>检查</v>
      </c>
      <c r="G1049" t="str">
        <f t="shared" si="417"/>
        <v>0</v>
      </c>
      <c r="I1049" t="str">
        <f t="shared" si="420"/>
        <v>项</v>
      </c>
      <c r="K1049" t="str">
        <f>"ETSCFYPG"</f>
        <v>ETSCFYPG</v>
      </c>
      <c r="L1049" t="str">
        <f>"QUTTNYYW"</f>
        <v>QUTTNYYW</v>
      </c>
      <c r="M1049" t="str">
        <f t="shared" si="418"/>
        <v>0</v>
      </c>
      <c r="O1049" t="str">
        <f t="shared" si="421"/>
        <v>项</v>
      </c>
      <c r="P1049" t="str">
        <f>"检查费"</f>
        <v>检查费</v>
      </c>
    </row>
    <row r="1050" spans="1:16">
      <c r="A1050" t="str">
        <f>"血清尿酸测定"</f>
        <v>血清尿酸测定</v>
      </c>
      <c r="B1050" t="str">
        <f>"JM0104"</f>
        <v>JM0104</v>
      </c>
      <c r="C1050" t="str">
        <f>"检验"</f>
        <v>检验</v>
      </c>
      <c r="G1050" t="str">
        <f t="shared" si="417"/>
        <v>0</v>
      </c>
      <c r="I1050" t="str">
        <f>"每项"</f>
        <v>每项</v>
      </c>
      <c r="K1050" t="str">
        <f>"XQNSCD"</f>
        <v>XQNSCD</v>
      </c>
      <c r="L1050" t="str">
        <f>"TINSIP"</f>
        <v>TINSIP</v>
      </c>
      <c r="M1050" t="str">
        <f t="shared" si="418"/>
        <v>0</v>
      </c>
      <c r="O1050" t="str">
        <f t="shared" si="421"/>
        <v>项</v>
      </c>
      <c r="P1050" t="str">
        <f>"检验费"</f>
        <v>检验费</v>
      </c>
    </row>
    <row r="1051" spans="1:16">
      <c r="A1051" t="str">
        <f>"颈部血管彩色多普勒（签约）"</f>
        <v>颈部血管彩色多普勒（签约）</v>
      </c>
      <c r="B1051" t="str">
        <f>"JM0109"</f>
        <v>JM0109</v>
      </c>
      <c r="C1051" t="str">
        <f>"检查"</f>
        <v>检查</v>
      </c>
      <c r="G1051">
        <v>30</v>
      </c>
      <c r="I1051" t="str">
        <f t="shared" ref="I1051:I1054" si="422">"次"</f>
        <v>次</v>
      </c>
      <c r="K1051" t="str">
        <f>"JBXGCSDPLQY"</f>
        <v>JBXGCSDPLQY</v>
      </c>
      <c r="L1051" t="str">
        <f>"CUTTEQQUATX"</f>
        <v>CUTTEQQUATX</v>
      </c>
      <c r="M1051">
        <v>30</v>
      </c>
      <c r="O1051" t="str">
        <f>"每根"</f>
        <v>每根</v>
      </c>
      <c r="P1051" t="str">
        <f>"彩超费"</f>
        <v>彩超费</v>
      </c>
    </row>
    <row r="1052" spans="1:16">
      <c r="A1052" t="str">
        <f>"红外线治疗(家医签约)"</f>
        <v>红外线治疗(家医签约)</v>
      </c>
      <c r="B1052" t="str">
        <f>"JM0120"</f>
        <v>JM0120</v>
      </c>
      <c r="C1052" t="str">
        <f t="shared" ref="C1052:C1059" si="423">"治疗"</f>
        <v>治疗</v>
      </c>
      <c r="G1052" t="str">
        <f t="shared" ref="G1052:G1059" si="424">"0"</f>
        <v>0</v>
      </c>
      <c r="I1052" t="str">
        <f t="shared" si="422"/>
        <v>次</v>
      </c>
      <c r="K1052" t="str">
        <f>"HWXZLJYQY"</f>
        <v>HWXZLJYQY</v>
      </c>
      <c r="L1052" t="str">
        <f>"XQXIUPATX"</f>
        <v>XQXIUPATX</v>
      </c>
      <c r="M1052">
        <v>7</v>
      </c>
      <c r="O1052" t="str">
        <f t="shared" ref="O1052:O1054" si="425">"次"</f>
        <v>次</v>
      </c>
      <c r="P1052" t="str">
        <f t="shared" ref="P1052:P1059" si="426">"治疗费"</f>
        <v>治疗费</v>
      </c>
    </row>
    <row r="1053" spans="1:16">
      <c r="A1053" t="str">
        <f>"PHQ-9（建卡签约免费）"</f>
        <v>PHQ-9（建卡签约免费）</v>
      </c>
      <c r="B1053" t="str">
        <f>"JM0137"</f>
        <v>JM0137</v>
      </c>
      <c r="C1053" t="str">
        <f t="shared" si="423"/>
        <v>治疗</v>
      </c>
      <c r="G1053" t="str">
        <f t="shared" si="424"/>
        <v>0</v>
      </c>
      <c r="I1053" t="str">
        <f t="shared" si="422"/>
        <v>次</v>
      </c>
      <c r="K1053" t="str">
        <f>"PHQ9JKQYMF"</f>
        <v>PHQ9JKQYMF</v>
      </c>
      <c r="L1053" t="str">
        <f>"PHQ9VHTXQX"</f>
        <v>PHQ9VHTXQX</v>
      </c>
      <c r="M1053" t="str">
        <f t="shared" ref="M1053:M1059" si="427">"0"</f>
        <v>0</v>
      </c>
      <c r="O1053" t="str">
        <f t="shared" si="425"/>
        <v>次</v>
      </c>
      <c r="P1053" t="str">
        <f t="shared" si="426"/>
        <v>治疗费</v>
      </c>
    </row>
    <row r="1054" spans="1:16">
      <c r="A1054" t="str">
        <f>"ABO.RHD血型鉴定（免费）"</f>
        <v>ABO.RHD血型鉴定（免费）</v>
      </c>
      <c r="B1054" t="str">
        <f>"JM0148"</f>
        <v>JM0148</v>
      </c>
      <c r="C1054" t="str">
        <f>"检验"</f>
        <v>检验</v>
      </c>
      <c r="G1054" t="str">
        <f t="shared" si="424"/>
        <v>0</v>
      </c>
      <c r="I1054" t="str">
        <f t="shared" si="422"/>
        <v>次</v>
      </c>
      <c r="K1054" t="str">
        <f>"ABORHDXXJDMF"</f>
        <v>ABORHDXXJDMF</v>
      </c>
      <c r="L1054" t="str">
        <f>"ABORHDTGJPQX"</f>
        <v>ABORHDTGJPQX</v>
      </c>
      <c r="M1054" t="str">
        <f t="shared" si="427"/>
        <v>0</v>
      </c>
      <c r="O1054" t="str">
        <f t="shared" si="425"/>
        <v>次</v>
      </c>
      <c r="P1054" t="str">
        <f>"检验费"</f>
        <v>检验费</v>
      </c>
    </row>
    <row r="1055" spans="1:16">
      <c r="A1055" t="str">
        <f>"血糖试纸（个性签约）"</f>
        <v>血糖试纸（个性签约）</v>
      </c>
      <c r="B1055" t="str">
        <f>"JM0163"</f>
        <v>JM0163</v>
      </c>
      <c r="C1055" t="str">
        <f>"材料"</f>
        <v>材料</v>
      </c>
      <c r="G1055" t="str">
        <f t="shared" si="424"/>
        <v>0</v>
      </c>
      <c r="I1055" t="str">
        <f>"项"</f>
        <v>项</v>
      </c>
      <c r="K1055" t="str">
        <f>"XTSZGXQY"</f>
        <v>XTSZGXQY</v>
      </c>
      <c r="L1055" t="str">
        <f>"TOYXWNTX"</f>
        <v>TOYXWNTX</v>
      </c>
      <c r="M1055" t="str">
        <f t="shared" si="427"/>
        <v>0</v>
      </c>
      <c r="O1055" t="str">
        <f>"项"</f>
        <v>项</v>
      </c>
      <c r="P1055" t="str">
        <f>"材料费"</f>
        <v>材料费</v>
      </c>
    </row>
    <row r="1056" spans="1:16">
      <c r="A1056" t="str">
        <f>"音乐治疗（签约）"</f>
        <v>音乐治疗（签约）</v>
      </c>
      <c r="B1056" t="str">
        <f>"JM0170"</f>
        <v>JM0170</v>
      </c>
      <c r="C1056" t="str">
        <f t="shared" si="423"/>
        <v>治疗</v>
      </c>
      <c r="G1056" t="str">
        <f t="shared" si="424"/>
        <v>0</v>
      </c>
      <c r="I1056" t="str">
        <f t="shared" ref="I1056:I1061" si="428">"次"</f>
        <v>次</v>
      </c>
      <c r="K1056" t="str">
        <f>"YLZLQY"</f>
        <v>YLZLQY</v>
      </c>
      <c r="L1056" t="str">
        <f>"UQIUTX"</f>
        <v>UQIUTX</v>
      </c>
      <c r="M1056" t="str">
        <f t="shared" si="427"/>
        <v>0</v>
      </c>
      <c r="O1056" t="str">
        <f t="shared" ref="O1056:O1059" si="429">"次"</f>
        <v>次</v>
      </c>
      <c r="P1056" t="str">
        <f t="shared" si="426"/>
        <v>治疗费</v>
      </c>
    </row>
    <row r="1057" spans="1:16">
      <c r="A1057" t="str">
        <f>"营养状况评定（签约）"</f>
        <v>营养状况评定（签约）</v>
      </c>
      <c r="B1057" t="str">
        <f>"JM0172"</f>
        <v>JM0172</v>
      </c>
      <c r="C1057" t="str">
        <f t="shared" si="423"/>
        <v>治疗</v>
      </c>
      <c r="G1057" t="str">
        <f t="shared" si="424"/>
        <v>0</v>
      </c>
      <c r="I1057" t="str">
        <f t="shared" si="428"/>
        <v>次</v>
      </c>
      <c r="K1057" t="str">
        <f>"YYZKPDQY"</f>
        <v>YYZKPDQY</v>
      </c>
      <c r="L1057" t="str">
        <f>"AUUUYPTX"</f>
        <v>AUUUYPTX</v>
      </c>
      <c r="M1057" t="str">
        <f t="shared" si="427"/>
        <v>0</v>
      </c>
      <c r="O1057" t="str">
        <f t="shared" si="429"/>
        <v>次</v>
      </c>
      <c r="P1057" t="str">
        <f t="shared" si="426"/>
        <v>治疗费</v>
      </c>
    </row>
    <row r="1058" spans="1:16">
      <c r="A1058" t="str">
        <f>"中药贴敷（签约）"</f>
        <v>中药贴敷（签约）</v>
      </c>
      <c r="B1058" t="str">
        <f>"JM0175"</f>
        <v>JM0175</v>
      </c>
      <c r="C1058" t="str">
        <f t="shared" si="423"/>
        <v>治疗</v>
      </c>
      <c r="G1058" t="str">
        <f t="shared" si="424"/>
        <v>0</v>
      </c>
      <c r="I1058" t="str">
        <f t="shared" si="428"/>
        <v>次</v>
      </c>
      <c r="K1058" t="str">
        <f>"ZYTFQY"</f>
        <v>ZYTFQY</v>
      </c>
      <c r="L1058" t="str">
        <f>"KAMGTX"</f>
        <v>KAMGTX</v>
      </c>
      <c r="M1058" t="str">
        <f t="shared" si="427"/>
        <v>0</v>
      </c>
      <c r="O1058" t="str">
        <f t="shared" si="429"/>
        <v>次</v>
      </c>
      <c r="P1058" t="str">
        <f t="shared" si="426"/>
        <v>治疗费</v>
      </c>
    </row>
    <row r="1059" spans="1:16">
      <c r="A1059" t="str">
        <f>"煎药机煎药（签约）"</f>
        <v>煎药机煎药（签约）</v>
      </c>
      <c r="B1059" t="str">
        <f>"JM0176"</f>
        <v>JM0176</v>
      </c>
      <c r="C1059" t="str">
        <f t="shared" si="423"/>
        <v>治疗</v>
      </c>
      <c r="G1059" t="str">
        <f t="shared" si="424"/>
        <v>0</v>
      </c>
      <c r="I1059" t="str">
        <f t="shared" si="428"/>
        <v>次</v>
      </c>
      <c r="K1059" t="str">
        <f>"JYJJYQY"</f>
        <v>JYJJYQY</v>
      </c>
      <c r="L1059" t="str">
        <f>"UASUATX"</f>
        <v>UASUATX</v>
      </c>
      <c r="M1059" t="str">
        <f t="shared" si="427"/>
        <v>0</v>
      </c>
      <c r="O1059" t="str">
        <f t="shared" si="429"/>
        <v>次</v>
      </c>
      <c r="P1059" t="str">
        <f t="shared" si="426"/>
        <v>治疗费</v>
      </c>
    </row>
    <row r="1060" spans="1:16">
      <c r="A1060" t="str">
        <f>"新型冠状病毒抗体检测（甲）"</f>
        <v>新型冠状病毒抗体检测（甲）</v>
      </c>
      <c r="B1060" t="str">
        <f>"L250403091"</f>
        <v>L250403091</v>
      </c>
      <c r="C1060" t="str">
        <f>"检验"</f>
        <v>检验</v>
      </c>
      <c r="G1060">
        <v>15</v>
      </c>
      <c r="I1060" t="str">
        <f t="shared" si="428"/>
        <v>次</v>
      </c>
      <c r="K1060" t="str">
        <f>"XXGZBDKTJCJ"</f>
        <v>XXGZBDKTJCJ</v>
      </c>
      <c r="L1060" t="str">
        <f>"UGPUUGRWSIL"</f>
        <v>UGPUUGRWSIL</v>
      </c>
      <c r="M1060">
        <v>40</v>
      </c>
      <c r="O1060" t="str">
        <f>"项"</f>
        <v>项</v>
      </c>
      <c r="P1060" t="str">
        <f>"检验费"</f>
        <v>检验费</v>
      </c>
    </row>
    <row r="1061" spans="1:16">
      <c r="A1061" t="str">
        <f>"新型冠状病毒抗原检测"</f>
        <v>新型冠状病毒抗原检测</v>
      </c>
      <c r="B1061" t="str">
        <f>"L250403093"</f>
        <v>L250403093</v>
      </c>
      <c r="C1061" t="str">
        <f>"检验"</f>
        <v>检验</v>
      </c>
      <c r="G1061">
        <v>2</v>
      </c>
      <c r="I1061" t="str">
        <f t="shared" si="428"/>
        <v>次</v>
      </c>
      <c r="K1061" t="str">
        <f>"XXGZBDKYJC"</f>
        <v>XXGZBDKYJC</v>
      </c>
      <c r="L1061" t="str">
        <f>"UGPUUGRDSI"</f>
        <v>UGPUUGRDSI</v>
      </c>
      <c r="M1061">
        <v>5</v>
      </c>
      <c r="N1061" t="str">
        <f>"L250403093"</f>
        <v>L250403093</v>
      </c>
      <c r="O1061" t="str">
        <f t="shared" ref="O1061:O1068" si="430">"次"</f>
        <v>次</v>
      </c>
      <c r="P1061" t="str">
        <f>"检验费"</f>
        <v>检验费</v>
      </c>
    </row>
    <row r="1062" spans="1:16">
      <c r="A1062" t="str">
        <f>"流脑A+C结合疫苗"</f>
        <v>流脑A+C结合疫苗</v>
      </c>
      <c r="B1062" t="str">
        <f>"YM0021"</f>
        <v>YM0021</v>
      </c>
      <c r="C1062" t="str">
        <f t="shared" ref="C1062:C1064" si="431">"其他"</f>
        <v>其他</v>
      </c>
      <c r="D1062" t="str">
        <f>"XJ07AHA276B001010109687"</f>
        <v>XJ07AHA276B001010109687</v>
      </c>
      <c r="G1062">
        <v>156</v>
      </c>
      <c r="I1062" t="str">
        <f>"0.5ml"</f>
        <v>0.5ml</v>
      </c>
      <c r="K1062" t="str">
        <f>"LNACJHYM"</f>
        <v>LNACJHYM</v>
      </c>
      <c r="L1062" t="str">
        <f>"IEACXWUA"</f>
        <v>IEACXWUA</v>
      </c>
      <c r="M1062">
        <v>156</v>
      </c>
      <c r="O1062" t="str">
        <f>"支"</f>
        <v>支</v>
      </c>
      <c r="P1062" t="str">
        <f>"生物制品"</f>
        <v>生物制品</v>
      </c>
    </row>
    <row r="1063" spans="1:16">
      <c r="A1063" t="str">
        <f>"预防接种服务费"</f>
        <v>预防接种服务费</v>
      </c>
      <c r="B1063" t="str">
        <f>"ZF0001"</f>
        <v>ZF0001</v>
      </c>
      <c r="C1063" t="str">
        <f t="shared" si="431"/>
        <v>其他</v>
      </c>
      <c r="D1063" t="str">
        <f>"002505010090000"</f>
        <v>002505010090000</v>
      </c>
      <c r="G1063">
        <v>20</v>
      </c>
      <c r="I1063">
        <v>1</v>
      </c>
      <c r="K1063" t="str">
        <f>"YFJZFWF"</f>
        <v>YFJZFWF</v>
      </c>
      <c r="L1063" t="str">
        <f>"CBRTETX"</f>
        <v>CBRTETX</v>
      </c>
      <c r="M1063">
        <v>20</v>
      </c>
      <c r="O1063" t="str">
        <f t="shared" si="430"/>
        <v>次</v>
      </c>
      <c r="P1063" t="str">
        <f>"预防接种费"</f>
        <v>预防接种费</v>
      </c>
    </row>
    <row r="1064" spans="1:16">
      <c r="A1064" t="str">
        <f>"糖尿病签约服务费"</f>
        <v>糖尿病签约服务费</v>
      </c>
      <c r="B1064" t="str">
        <f>"ZF0003"</f>
        <v>ZF0003</v>
      </c>
      <c r="C1064" t="str">
        <f t="shared" si="431"/>
        <v>其他</v>
      </c>
      <c r="G1064">
        <v>15</v>
      </c>
      <c r="I1064" t="str">
        <f>"项"</f>
        <v>项</v>
      </c>
      <c r="K1064" t="str">
        <f>"TNBQYFWF"</f>
        <v>TNBQYFWF</v>
      </c>
      <c r="L1064" t="str">
        <f>"ONUTXETX"</f>
        <v>ONUTXETX</v>
      </c>
      <c r="M1064">
        <v>60</v>
      </c>
      <c r="O1064" t="str">
        <f>"项"</f>
        <v>项</v>
      </c>
      <c r="P1064" t="str">
        <f>"服务收入"</f>
        <v>服务收入</v>
      </c>
    </row>
    <row r="1065" spans="1:16">
      <c r="A1065" t="str">
        <f>"体检费10"</f>
        <v>体检费10</v>
      </c>
      <c r="B1065" t="str">
        <f>"ZF0005"</f>
        <v>ZF0005</v>
      </c>
      <c r="C1065" t="str">
        <f t="shared" ref="C1065:C1068" si="432">"检查"</f>
        <v>检查</v>
      </c>
      <c r="G1065" t="str">
        <f>"0"</f>
        <v>0</v>
      </c>
      <c r="I1065" t="str">
        <f t="shared" ref="I1065:I1068" si="433">"次"</f>
        <v>次</v>
      </c>
      <c r="K1065" t="str">
        <f>"TJF10"</f>
        <v>TJF10</v>
      </c>
      <c r="L1065" t="str">
        <f>"WSX10"</f>
        <v>WSX10</v>
      </c>
      <c r="M1065">
        <v>10</v>
      </c>
      <c r="O1065" t="str">
        <f t="shared" si="430"/>
        <v>次</v>
      </c>
      <c r="P1065" t="str">
        <f t="shared" ref="P1065:P1068" si="434">"体检费"</f>
        <v>体检费</v>
      </c>
    </row>
    <row r="1066" spans="1:16">
      <c r="A1066" t="str">
        <f>"体检费100"</f>
        <v>体检费100</v>
      </c>
      <c r="B1066" t="str">
        <f>"ZF0007"</f>
        <v>ZF0007</v>
      </c>
      <c r="C1066" t="str">
        <f t="shared" si="432"/>
        <v>检查</v>
      </c>
      <c r="G1066">
        <v>100</v>
      </c>
      <c r="I1066" t="str">
        <f t="shared" si="433"/>
        <v>次</v>
      </c>
      <c r="K1066" t="str">
        <f>"TJF100"</f>
        <v>TJF100</v>
      </c>
      <c r="L1066" t="str">
        <f>"WSX100"</f>
        <v>WSX100</v>
      </c>
      <c r="M1066">
        <v>100</v>
      </c>
      <c r="O1066" t="str">
        <f t="shared" si="430"/>
        <v>次</v>
      </c>
      <c r="P1066" t="str">
        <f t="shared" si="434"/>
        <v>体检费</v>
      </c>
    </row>
    <row r="1067" spans="1:16">
      <c r="A1067" t="str">
        <f>"体检费(Z)"</f>
        <v>体检费(Z)</v>
      </c>
      <c r="B1067" t="str">
        <f>"ZF0008"</f>
        <v>ZF0008</v>
      </c>
      <c r="C1067" t="str">
        <f t="shared" si="432"/>
        <v>检查</v>
      </c>
      <c r="D1067" t="str">
        <f>"001105000010000"</f>
        <v>001105000010000</v>
      </c>
      <c r="G1067">
        <v>180</v>
      </c>
      <c r="I1067" t="str">
        <f t="shared" si="433"/>
        <v>次</v>
      </c>
      <c r="K1067" t="str">
        <f>"TJFZ"</f>
        <v>TJFZ</v>
      </c>
      <c r="L1067" t="str">
        <f>"WSXZ"</f>
        <v>WSXZ</v>
      </c>
      <c r="M1067">
        <v>999</v>
      </c>
      <c r="O1067" t="str">
        <f t="shared" si="430"/>
        <v>次</v>
      </c>
      <c r="P1067" t="str">
        <f t="shared" si="434"/>
        <v>体检费</v>
      </c>
    </row>
    <row r="1068" spans="1:16">
      <c r="A1068" t="str">
        <f>"体检费"</f>
        <v>体检费</v>
      </c>
      <c r="B1068" t="str">
        <f>"ZF0012"</f>
        <v>ZF0012</v>
      </c>
      <c r="C1068" t="str">
        <f t="shared" si="432"/>
        <v>检查</v>
      </c>
      <c r="D1068" t="str">
        <f>"001105000010000"</f>
        <v>001105000010000</v>
      </c>
      <c r="G1068">
        <v>150</v>
      </c>
      <c r="I1068" t="str">
        <f t="shared" si="433"/>
        <v>次</v>
      </c>
      <c r="K1068" t="str">
        <f>"TJF"</f>
        <v>TJF</v>
      </c>
      <c r="L1068" t="str">
        <f>"WSX"</f>
        <v>WSX</v>
      </c>
      <c r="M1068">
        <v>99999</v>
      </c>
      <c r="O1068" t="str">
        <f t="shared" si="430"/>
        <v>次</v>
      </c>
      <c r="P1068" t="str">
        <f t="shared" si="434"/>
        <v>体检费</v>
      </c>
    </row>
    <row r="1069" spans="1:16">
      <c r="A1069" t="str">
        <f>"方型电极片"</f>
        <v>方型电极片</v>
      </c>
      <c r="B1069" t="str">
        <f>"ZF0014"</f>
        <v>ZF0014</v>
      </c>
      <c r="C1069" t="str">
        <f t="shared" ref="C1069:C1071" si="435">"治疗"</f>
        <v>治疗</v>
      </c>
      <c r="D1069" t="str">
        <f>"C14070118300000037950000003"</f>
        <v>C14070118300000037950000003</v>
      </c>
      <c r="G1069">
        <v>10</v>
      </c>
      <c r="I1069" t="str">
        <f t="shared" ref="I1069:I1071" si="436">"对"</f>
        <v>对</v>
      </c>
      <c r="K1069" t="str">
        <f>"FXDJP"</f>
        <v>FXDJP</v>
      </c>
      <c r="L1069" t="str">
        <f>"YGJST"</f>
        <v>YGJST</v>
      </c>
      <c r="M1069">
        <v>25.2</v>
      </c>
      <c r="N1069" t="str">
        <f>"BD-HC6183273"</f>
        <v>BD-HC6183273</v>
      </c>
      <c r="O1069" t="str">
        <f t="shared" ref="O1069:O1071" si="437">"对"</f>
        <v>对</v>
      </c>
      <c r="P1069" t="str">
        <f t="shared" ref="P1069:P1075" si="438">"材料费"</f>
        <v>材料费</v>
      </c>
    </row>
    <row r="1070" spans="1:16">
      <c r="A1070" t="str">
        <f>"乳房电极片"</f>
        <v>乳房电极片</v>
      </c>
      <c r="B1070" t="str">
        <f>"ZF0015"</f>
        <v>ZF0015</v>
      </c>
      <c r="C1070" t="str">
        <f t="shared" si="435"/>
        <v>治疗</v>
      </c>
      <c r="D1070" t="str">
        <f>"C14070118300000037950000002"</f>
        <v>C14070118300000037950000002</v>
      </c>
      <c r="G1070">
        <v>50</v>
      </c>
      <c r="I1070" t="str">
        <f t="shared" si="436"/>
        <v>对</v>
      </c>
      <c r="K1070" t="str">
        <f>"RFDJP"</f>
        <v>RFDJP</v>
      </c>
      <c r="L1070" t="str">
        <f>"EYJST"</f>
        <v>EYJST</v>
      </c>
      <c r="M1070">
        <v>52.5</v>
      </c>
      <c r="N1070" t="str">
        <f>"BD-HC6183280"</f>
        <v>BD-HC6183280</v>
      </c>
      <c r="O1070" t="str">
        <f t="shared" si="437"/>
        <v>对</v>
      </c>
      <c r="P1070" t="str">
        <f t="shared" si="438"/>
        <v>材料费</v>
      </c>
    </row>
    <row r="1071" spans="1:16">
      <c r="A1071" t="str">
        <f>"塑形电极片"</f>
        <v>塑形电极片</v>
      </c>
      <c r="B1071" t="str">
        <f>"ZF0016"</f>
        <v>ZF0016</v>
      </c>
      <c r="C1071" t="str">
        <f t="shared" si="435"/>
        <v>治疗</v>
      </c>
      <c r="D1071" t="str">
        <f>"C14070318300000037950000001"</f>
        <v>C14070318300000037950000001</v>
      </c>
      <c r="G1071">
        <v>35</v>
      </c>
      <c r="I1071" t="str">
        <f t="shared" si="436"/>
        <v>对</v>
      </c>
      <c r="K1071" t="str">
        <f>"SXDJP"</f>
        <v>SXDJP</v>
      </c>
      <c r="L1071" t="str">
        <f>"UGJST"</f>
        <v>UGJST</v>
      </c>
      <c r="M1071">
        <v>52.5</v>
      </c>
      <c r="N1071" t="str">
        <f>"BD-HC6183284"</f>
        <v>BD-HC6183284</v>
      </c>
      <c r="O1071" t="str">
        <f t="shared" si="437"/>
        <v>对</v>
      </c>
      <c r="P1071" t="str">
        <f t="shared" si="438"/>
        <v>材料费</v>
      </c>
    </row>
    <row r="1072" spans="1:16">
      <c r="A1072" t="str">
        <f>"一次性使用阴道电极"</f>
        <v>一次性使用阴道电极</v>
      </c>
      <c r="B1072" t="str">
        <f>"ZF0017"</f>
        <v>ZF0017</v>
      </c>
      <c r="C1072" t="str">
        <f t="shared" ref="C1072:C1076" si="439">"材料"</f>
        <v>材料</v>
      </c>
      <c r="D1072" t="str">
        <f>"C14070318300000037950000001"</f>
        <v>C14070318300000037950000001</v>
      </c>
      <c r="G1072">
        <v>50</v>
      </c>
      <c r="I1072" t="str">
        <f>"只"</f>
        <v>只</v>
      </c>
      <c r="K1072" t="str">
        <f>"YCXSYYDDJ"</f>
        <v>YCXSYYDDJ</v>
      </c>
      <c r="L1072" t="str">
        <f>"GUNWEBUJS"</f>
        <v>GUNWEBUJS</v>
      </c>
      <c r="M1072">
        <v>52.5</v>
      </c>
      <c r="N1072" t="str">
        <f>"BD-HC6183192"</f>
        <v>BD-HC6183192</v>
      </c>
      <c r="O1072" t="str">
        <f>"个"</f>
        <v>个</v>
      </c>
      <c r="P1072" t="str">
        <f t="shared" si="438"/>
        <v>材料费</v>
      </c>
    </row>
    <row r="1073" spans="1:16">
      <c r="A1073" t="str">
        <f>"盆底康复器"</f>
        <v>盆底康复器</v>
      </c>
      <c r="B1073" t="str">
        <f>"ZF0019"</f>
        <v>ZF0019</v>
      </c>
      <c r="C1073" t="str">
        <f t="shared" si="439"/>
        <v>材料</v>
      </c>
      <c r="D1073" t="str">
        <f>"C14020200000000037950000011"</f>
        <v>C14020200000000037950000011</v>
      </c>
      <c r="G1073">
        <v>280</v>
      </c>
      <c r="I1073" t="str">
        <f>"个"</f>
        <v>个</v>
      </c>
      <c r="K1073" t="str">
        <f>"PDKFQ"</f>
        <v>PDKFQ</v>
      </c>
      <c r="L1073" t="str">
        <f>"WYYTK"</f>
        <v>WYYTK</v>
      </c>
      <c r="M1073">
        <v>294</v>
      </c>
      <c r="N1073" t="str">
        <f>"BD-HC6196622"</f>
        <v>BD-HC6196622</v>
      </c>
      <c r="O1073" t="str">
        <f>"个"</f>
        <v>个</v>
      </c>
      <c r="P1073" t="str">
        <f t="shared" si="438"/>
        <v>材料费</v>
      </c>
    </row>
    <row r="1074" spans="1:16">
      <c r="A1074" t="str">
        <f>"润滑剂"</f>
        <v>润滑剂</v>
      </c>
      <c r="B1074" t="str">
        <f>"ZF0020"</f>
        <v>ZF0020</v>
      </c>
      <c r="C1074" t="str">
        <f>"治疗"</f>
        <v>治疗</v>
      </c>
      <c r="D1074" t="str">
        <f>"C1704012230000408024"</f>
        <v>C1704012230000408024</v>
      </c>
      <c r="G1074">
        <v>30</v>
      </c>
      <c r="I1074" t="str">
        <f>"支"</f>
        <v>支</v>
      </c>
      <c r="K1074" t="str">
        <f>"RHJ"</f>
        <v>RHJ</v>
      </c>
      <c r="L1074" t="str">
        <f>"IIY"</f>
        <v>IIY</v>
      </c>
      <c r="M1074">
        <v>36.8</v>
      </c>
      <c r="N1074" t="str">
        <f>"HC-BD6183280"</f>
        <v>HC-BD6183280</v>
      </c>
      <c r="O1074" t="str">
        <f>"支"</f>
        <v>支</v>
      </c>
      <c r="P1074" t="str">
        <f t="shared" si="438"/>
        <v>材料费</v>
      </c>
    </row>
    <row r="1075" spans="1:16">
      <c r="A1075" t="str">
        <f>"3M进口粘接剂"</f>
        <v>3M进口粘接剂</v>
      </c>
      <c r="B1075" t="str">
        <f>"ZF0051"</f>
        <v>ZF0051</v>
      </c>
      <c r="C1075" t="str">
        <f t="shared" si="439"/>
        <v>材料</v>
      </c>
      <c r="G1075">
        <v>24.4</v>
      </c>
      <c r="I1075" t="str">
        <f>"支"</f>
        <v>支</v>
      </c>
      <c r="K1075" t="str">
        <f>"3MJKZJJ"</f>
        <v>3MJKZJJ</v>
      </c>
      <c r="L1075" t="str">
        <f>"3MFKORY"</f>
        <v>3MFKORY</v>
      </c>
      <c r="M1075">
        <v>100</v>
      </c>
      <c r="O1075" t="str">
        <f>"每牙"</f>
        <v>每牙</v>
      </c>
      <c r="P1075" t="str">
        <f t="shared" si="438"/>
        <v>材料费</v>
      </c>
    </row>
    <row r="1076" spans="1:16">
      <c r="A1076" t="str">
        <f>"氟保护漆"</f>
        <v>氟保护漆</v>
      </c>
      <c r="B1076" t="str">
        <f>"ZF0061"</f>
        <v>ZF0061</v>
      </c>
      <c r="C1076" t="str">
        <f t="shared" si="439"/>
        <v>材料</v>
      </c>
      <c r="G1076">
        <v>1</v>
      </c>
      <c r="I1076" t="str">
        <f t="shared" ref="I1076:I1081" si="440">"项"</f>
        <v>项</v>
      </c>
      <c r="K1076" t="str">
        <f>"FBHQ"</f>
        <v>FBHQ</v>
      </c>
      <c r="L1076" t="str">
        <f>"RWRI"</f>
        <v>RWRI</v>
      </c>
      <c r="M1076">
        <v>4</v>
      </c>
      <c r="O1076" t="str">
        <f>"每牙"</f>
        <v>每牙</v>
      </c>
      <c r="P1076" t="str">
        <f>"治疗费(含材料费)"</f>
        <v>治疗费(含材料费)</v>
      </c>
    </row>
    <row r="1077" spans="1:16">
      <c r="A1077" t="str">
        <f>"人体成分分析"</f>
        <v>人体成分分析</v>
      </c>
      <c r="B1077" t="str">
        <f>"ZF0075"</f>
        <v>ZF0075</v>
      </c>
      <c r="C1077" t="str">
        <f>"检查"</f>
        <v>检查</v>
      </c>
      <c r="D1077" t="str">
        <f>"003110000400000"</f>
        <v>003110000400000</v>
      </c>
      <c r="G1077">
        <v>93</v>
      </c>
      <c r="I1077" t="str">
        <f t="shared" si="440"/>
        <v>项</v>
      </c>
      <c r="K1077" t="str">
        <f>"RTCFFX"</f>
        <v>RTCFFX</v>
      </c>
      <c r="L1077" t="str">
        <f>"WWDWWS"</f>
        <v>WWDWWS</v>
      </c>
      <c r="M1077">
        <v>110</v>
      </c>
      <c r="O1077" t="str">
        <f>"项"</f>
        <v>项</v>
      </c>
      <c r="P1077" t="str">
        <f>"检查费"</f>
        <v>检查费</v>
      </c>
    </row>
    <row r="1078" spans="1:16">
      <c r="A1078" t="str">
        <f>"家政体检"</f>
        <v>家政体检</v>
      </c>
      <c r="B1078" t="str">
        <f>"ZF0099"</f>
        <v>ZF0099</v>
      </c>
      <c r="C1078" t="str">
        <f>"检查"</f>
        <v>检查</v>
      </c>
      <c r="G1078">
        <v>70</v>
      </c>
      <c r="I1078" t="str">
        <f t="shared" ref="I1078:I1082" si="441">"次"</f>
        <v>次</v>
      </c>
      <c r="K1078" t="str">
        <f>"JZTJ"</f>
        <v>JZTJ</v>
      </c>
      <c r="L1078" t="str">
        <f>"PGWS"</f>
        <v>PGWS</v>
      </c>
      <c r="M1078">
        <v>70</v>
      </c>
      <c r="O1078" t="str">
        <f t="shared" ref="O1078:O1082" si="442">"次"</f>
        <v>次</v>
      </c>
      <c r="P1078" t="str">
        <f>"体检费"</f>
        <v>体检费</v>
      </c>
    </row>
    <row r="1079" spans="1:16">
      <c r="A1079" t="str">
        <f>"重复阴道电极"</f>
        <v>重复阴道电极</v>
      </c>
      <c r="B1079" t="str">
        <f>"ZF0105"</f>
        <v>ZF0105</v>
      </c>
      <c r="C1079" t="str">
        <f>"材料"</f>
        <v>材料</v>
      </c>
      <c r="D1079" t="str">
        <f>"C1407040000000003795"</f>
        <v>C1407040000000003795</v>
      </c>
      <c r="G1079">
        <v>150</v>
      </c>
      <c r="I1079" t="str">
        <f>"个"</f>
        <v>个</v>
      </c>
      <c r="K1079" t="str">
        <f>"ZFYDDJ"</f>
        <v>ZFYDDJ</v>
      </c>
      <c r="L1079" t="str">
        <f>"TTBUJS"</f>
        <v>TTBUJS</v>
      </c>
      <c r="M1079">
        <v>275</v>
      </c>
      <c r="O1079" t="str">
        <f>"个"</f>
        <v>个</v>
      </c>
      <c r="P1079" t="str">
        <f>"材料费"</f>
        <v>材料费</v>
      </c>
    </row>
    <row r="1080" spans="1:16">
      <c r="A1080" t="str">
        <f>"商业体检费"</f>
        <v>商业体检费</v>
      </c>
      <c r="B1080" t="str">
        <f>"ZF0112"</f>
        <v>ZF0112</v>
      </c>
      <c r="C1080" t="str">
        <f t="shared" ref="C1080:C1084" si="443">"其他"</f>
        <v>其他</v>
      </c>
      <c r="G1080">
        <v>215</v>
      </c>
      <c r="I1080" t="str">
        <f t="shared" si="441"/>
        <v>次</v>
      </c>
      <c r="K1080" t="str">
        <f>"SYTJF"</f>
        <v>SYTJF</v>
      </c>
      <c r="L1080" t="str">
        <f>"UOWSX"</f>
        <v>UOWSX</v>
      </c>
      <c r="M1080">
        <v>500</v>
      </c>
      <c r="O1080" t="str">
        <f t="shared" si="442"/>
        <v>次</v>
      </c>
      <c r="P1080" t="str">
        <f>"检查费"</f>
        <v>检查费</v>
      </c>
    </row>
    <row r="1081" spans="1:16">
      <c r="A1081" t="str">
        <f>"HIV自费(减免)"</f>
        <v>HIV自费(减免)</v>
      </c>
      <c r="B1081" t="str">
        <f>"ZF0127"</f>
        <v>ZF0127</v>
      </c>
      <c r="C1081" t="str">
        <f>"检验"</f>
        <v>检验</v>
      </c>
      <c r="G1081" t="str">
        <f>"0"</f>
        <v>0</v>
      </c>
      <c r="I1081" t="str">
        <f t="shared" si="440"/>
        <v>项</v>
      </c>
      <c r="K1081" t="str">
        <f>"HIVZFJM"</f>
        <v>HIVZFJM</v>
      </c>
      <c r="L1081" t="str">
        <f>"HIVTXUQ"</f>
        <v>HIVTXUQ</v>
      </c>
      <c r="M1081">
        <v>35</v>
      </c>
      <c r="O1081" t="str">
        <f t="shared" ref="O1081:O1085" si="444">"项"</f>
        <v>项</v>
      </c>
      <c r="P1081" t="str">
        <f>"检验费"</f>
        <v>检验费</v>
      </c>
    </row>
    <row r="1082" spans="1:16">
      <c r="A1082" t="str">
        <f>"葡萄糖测定（个性签约）"</f>
        <v>葡萄糖测定（个性签约）</v>
      </c>
      <c r="B1082" t="str">
        <f>"ZF0142"</f>
        <v>ZF0142</v>
      </c>
      <c r="C1082" t="str">
        <f>"检验"</f>
        <v>检验</v>
      </c>
      <c r="G1082" t="str">
        <f>"0"</f>
        <v>0</v>
      </c>
      <c r="I1082" t="str">
        <f t="shared" si="441"/>
        <v>次</v>
      </c>
      <c r="K1082" t="str">
        <f>"PTTCDGXQY"</f>
        <v>PTTCDGXQY</v>
      </c>
      <c r="L1082" t="str">
        <f>"AAOIPWNTX"</f>
        <v>AAOIPWNTX</v>
      </c>
      <c r="M1082">
        <v>4</v>
      </c>
      <c r="O1082" t="str">
        <f t="shared" si="442"/>
        <v>次</v>
      </c>
      <c r="P1082" t="str">
        <f t="shared" ref="P1082:P1084" si="445">"服务收入"</f>
        <v>服务收入</v>
      </c>
    </row>
    <row r="1083" spans="1:16">
      <c r="A1083" t="str">
        <f>"膏方加工费"</f>
        <v>膏方加工费</v>
      </c>
      <c r="B1083" t="str">
        <f>"ZF0153"</f>
        <v>ZF0153</v>
      </c>
      <c r="C1083" t="str">
        <f t="shared" si="443"/>
        <v>其他</v>
      </c>
      <c r="G1083">
        <v>300</v>
      </c>
      <c r="I1083" t="str">
        <f t="shared" ref="I1083:I1085" si="446">"项"</f>
        <v>项</v>
      </c>
      <c r="K1083" t="str">
        <f>"GFJGF"</f>
        <v>GFJGF</v>
      </c>
      <c r="L1083" t="str">
        <f>"YYLAX"</f>
        <v>YYLAX</v>
      </c>
      <c r="M1083">
        <v>350</v>
      </c>
      <c r="O1083" t="str">
        <f t="shared" si="444"/>
        <v>项</v>
      </c>
      <c r="P1083" t="str">
        <f t="shared" si="445"/>
        <v>服务收入</v>
      </c>
    </row>
    <row r="1084" spans="1:16">
      <c r="A1084" t="str">
        <f>"膏方费加收"</f>
        <v>膏方费加收</v>
      </c>
      <c r="B1084" t="str">
        <f>"ZF0154"</f>
        <v>ZF0154</v>
      </c>
      <c r="C1084" t="str">
        <f t="shared" si="443"/>
        <v>其他</v>
      </c>
      <c r="G1084">
        <v>40</v>
      </c>
      <c r="I1084" t="str">
        <f t="shared" si="446"/>
        <v>项</v>
      </c>
      <c r="K1084" t="str">
        <f>"GFFJS"</f>
        <v>GFFJS</v>
      </c>
      <c r="L1084" t="str">
        <f>"YYXLN"</f>
        <v>YYXLN</v>
      </c>
      <c r="M1084">
        <v>40</v>
      </c>
      <c r="O1084" t="str">
        <f t="shared" si="444"/>
        <v>项</v>
      </c>
      <c r="P1084" t="str">
        <f t="shared" si="445"/>
        <v>服务收入</v>
      </c>
    </row>
    <row r="1085" spans="1:16">
      <c r="A1085" t="str">
        <f>"家政体检B套餐"</f>
        <v>家政体检B套餐</v>
      </c>
      <c r="B1085" t="str">
        <f>"ZF0165"</f>
        <v>ZF0165</v>
      </c>
      <c r="C1085" t="str">
        <f>"检查"</f>
        <v>检查</v>
      </c>
      <c r="G1085">
        <v>75</v>
      </c>
      <c r="I1085" t="str">
        <f t="shared" si="446"/>
        <v>项</v>
      </c>
      <c r="K1085" t="str">
        <f>"JZTJBTC"</f>
        <v>JZTJBTC</v>
      </c>
      <c r="L1085" t="str">
        <f>"PGWSBDH"</f>
        <v>PGWSBDH</v>
      </c>
      <c r="M1085">
        <v>102</v>
      </c>
      <c r="O1085" t="str">
        <f t="shared" si="444"/>
        <v>项</v>
      </c>
      <c r="P1085" t="str">
        <f>"体检费"</f>
        <v>体检费</v>
      </c>
    </row>
    <row r="1086" spans="1:16">
      <c r="A1086" t="str">
        <f>"0.9％氯化钠注射液"</f>
        <v>0.9％氯化钠注射液</v>
      </c>
      <c r="B1086" t="str">
        <f>"ZF0196"</f>
        <v>ZF0196</v>
      </c>
      <c r="C1086" t="str">
        <f t="shared" ref="C1086:C1091" si="447">"其他"</f>
        <v>其他</v>
      </c>
      <c r="G1086" t="str">
        <f>"0.46"</f>
        <v>0.46</v>
      </c>
      <c r="I1086" t="str">
        <f>"10ml"</f>
        <v>10ml</v>
      </c>
      <c r="K1086" t="str">
        <f>"09LHNZSY"</f>
        <v>09LHNZSY</v>
      </c>
      <c r="L1086" t="str">
        <f>"09RWQITI"</f>
        <v>09RWQITI</v>
      </c>
      <c r="M1086" t="str">
        <f>"0.46"</f>
        <v>0.46</v>
      </c>
      <c r="O1086" t="str">
        <f>"支"</f>
        <v>支</v>
      </c>
      <c r="P1086" t="str">
        <f>"西药费"</f>
        <v>西药费</v>
      </c>
    </row>
    <row r="1087" spans="1:16">
      <c r="A1087" t="str">
        <f>"透明保持器单颌"</f>
        <v>透明保持器单颌</v>
      </c>
      <c r="B1087" t="str">
        <f>"ZF0200"</f>
        <v>ZF0200</v>
      </c>
      <c r="C1087" t="str">
        <f>"材料"</f>
        <v>材料</v>
      </c>
      <c r="D1087" t="str">
        <f>"C0706011440200211986"</f>
        <v>C0706011440200211986</v>
      </c>
      <c r="G1087">
        <v>200</v>
      </c>
      <c r="I1087">
        <v>1</v>
      </c>
      <c r="K1087" t="str">
        <f>"TMBCQD"</f>
        <v>TMBCQD</v>
      </c>
      <c r="L1087" t="str">
        <f>"TJWRKUW"</f>
        <v>TJWRKUW</v>
      </c>
      <c r="M1087">
        <v>400</v>
      </c>
      <c r="O1087" t="str">
        <f>"套"</f>
        <v>套</v>
      </c>
      <c r="P1087" t="str">
        <f>"材料费"</f>
        <v>材料费</v>
      </c>
    </row>
    <row r="1088" spans="1:16">
      <c r="A1088" t="str">
        <f>"省级离休干部签约费"</f>
        <v>省级离休干部签约费</v>
      </c>
      <c r="B1088" t="str">
        <f>"ZF0210"</f>
        <v>ZF0210</v>
      </c>
      <c r="C1088" t="str">
        <f t="shared" si="447"/>
        <v>其他</v>
      </c>
      <c r="G1088">
        <v>1200</v>
      </c>
      <c r="I1088" t="str">
        <f t="shared" ref="I1088:I1091" si="448">"项"</f>
        <v>项</v>
      </c>
      <c r="K1088" t="str">
        <f>"SJLXGBQYF"</f>
        <v>SJLXGBQYF</v>
      </c>
      <c r="L1088" t="str">
        <f>"IXYWFUTXX"</f>
        <v>IXYWFUTXX</v>
      </c>
      <c r="M1088">
        <v>1200</v>
      </c>
      <c r="O1088" t="str">
        <f>"项"</f>
        <v>项</v>
      </c>
      <c r="P1088" t="str">
        <f>"签约服务费"</f>
        <v>签约服务费</v>
      </c>
    </row>
    <row r="1089" spans="1:16">
      <c r="A1089" t="str">
        <f>"出诊费"</f>
        <v>出诊费</v>
      </c>
      <c r="B1089" t="str">
        <f>"ZF0231"</f>
        <v>ZF0231</v>
      </c>
      <c r="C1089" t="str">
        <f t="shared" si="447"/>
        <v>其他</v>
      </c>
      <c r="G1089">
        <v>10</v>
      </c>
      <c r="I1089" t="str">
        <f t="shared" si="448"/>
        <v>项</v>
      </c>
      <c r="K1089" t="str">
        <f>"CZF"</f>
        <v>CZF</v>
      </c>
      <c r="L1089" t="str">
        <f>"BYX"</f>
        <v>BYX</v>
      </c>
      <c r="M1089">
        <v>15</v>
      </c>
      <c r="O1089" t="str">
        <f t="shared" ref="O1089:O1096" si="449">"次"</f>
        <v>次</v>
      </c>
      <c r="P1089" t="str">
        <f>"服务收入"</f>
        <v>服务收入</v>
      </c>
    </row>
    <row r="1090" spans="1:16">
      <c r="A1090" t="str">
        <f>"体检（签约）个性包"</f>
        <v>体检（签约）个性包</v>
      </c>
      <c r="B1090" t="str">
        <f>"ZF0254"</f>
        <v>ZF0254</v>
      </c>
      <c r="C1090" t="str">
        <f t="shared" si="447"/>
        <v>其他</v>
      </c>
      <c r="G1090">
        <v>80</v>
      </c>
      <c r="I1090" t="str">
        <f t="shared" ref="I1090:I1096" si="450">"次"</f>
        <v>次</v>
      </c>
      <c r="K1090" t="str">
        <f>"TJQYGXB"</f>
        <v>TJQYGXB</v>
      </c>
      <c r="L1090" t="str">
        <f>"WSTXWNQ"</f>
        <v>WSTXWNQ</v>
      </c>
      <c r="M1090">
        <v>80</v>
      </c>
      <c r="O1090" t="str">
        <f t="shared" si="449"/>
        <v>次</v>
      </c>
      <c r="P1090" t="str">
        <f>"服务收入"</f>
        <v>服务收入</v>
      </c>
    </row>
    <row r="1091" spans="1:16">
      <c r="A1091" t="str">
        <f>"其他门急诊费用"</f>
        <v>其他门急诊费用</v>
      </c>
      <c r="B1091" t="str">
        <f>"ZF0280"</f>
        <v>ZF0280</v>
      </c>
      <c r="C1091" t="str">
        <f t="shared" si="447"/>
        <v>其他</v>
      </c>
      <c r="G1091">
        <v>4752</v>
      </c>
      <c r="I1091" t="str">
        <f t="shared" si="448"/>
        <v>项</v>
      </c>
      <c r="K1091" t="str">
        <f>"QTMJZFY"</f>
        <v>QTMJZFY</v>
      </c>
      <c r="L1091" t="str">
        <f>"AWUQYXE"</f>
        <v>AWUQYXE</v>
      </c>
      <c r="M1091">
        <v>6000</v>
      </c>
      <c r="O1091" t="str">
        <f>"项"</f>
        <v>项</v>
      </c>
      <c r="P1091" t="str">
        <f>"其他费用"</f>
        <v>其他费用</v>
      </c>
    </row>
    <row r="1092" spans="1:16">
      <c r="A1092" t="str">
        <f>"一次性使用护理包"</f>
        <v>一次性使用护理包</v>
      </c>
      <c r="B1092" t="str">
        <f>"ZF0289"</f>
        <v>ZF0289</v>
      </c>
      <c r="C1092" t="str">
        <f>"材料"</f>
        <v>材料</v>
      </c>
      <c r="G1092">
        <v>5.2</v>
      </c>
      <c r="I1092" t="str">
        <f>"个"</f>
        <v>个</v>
      </c>
      <c r="K1092" t="str">
        <f>"YCXSYHLB"</f>
        <v>YCXSYHLB</v>
      </c>
      <c r="L1092" t="str">
        <f>"GUNWERGQ"</f>
        <v>GUNWERGQ</v>
      </c>
      <c r="M1092">
        <v>5.2</v>
      </c>
      <c r="O1092" t="str">
        <f>"个"</f>
        <v>个</v>
      </c>
      <c r="P1092" t="str">
        <f>"材料费"</f>
        <v>材料费</v>
      </c>
    </row>
    <row r="1093" spans="1:16">
      <c r="A1093" t="str">
        <f>"中药知识理论及制作香囊体检"</f>
        <v>中药知识理论及制作香囊体检</v>
      </c>
      <c r="B1093" t="str">
        <f>"ZF0290"</f>
        <v>ZF0290</v>
      </c>
      <c r="C1093" t="str">
        <f t="shared" ref="C1093:C1096" si="451">"其他"</f>
        <v>其他</v>
      </c>
      <c r="G1093">
        <v>30</v>
      </c>
      <c r="I1093" t="str">
        <f t="shared" si="450"/>
        <v>次</v>
      </c>
      <c r="K1093" t="str">
        <f>"ZYZSLLJZZXNTJ"</f>
        <v>ZYZSLLJZZXNTJ</v>
      </c>
      <c r="L1093" t="str">
        <f>"KATYGYERWTGWS"</f>
        <v>KATYGYERWTGWS</v>
      </c>
      <c r="M1093">
        <v>30</v>
      </c>
      <c r="O1093" t="str">
        <f t="shared" si="449"/>
        <v>次</v>
      </c>
      <c r="P1093" t="str">
        <f>"体检费"</f>
        <v>体检费</v>
      </c>
    </row>
    <row r="1094" spans="1:16">
      <c r="A1094" t="str">
        <f>"中医适宜技术体检"</f>
        <v>中医适宜技术体检</v>
      </c>
      <c r="B1094" t="str">
        <f>"ZF0291"</f>
        <v>ZF0291</v>
      </c>
      <c r="C1094" t="str">
        <f t="shared" si="451"/>
        <v>其他</v>
      </c>
      <c r="G1094">
        <v>20</v>
      </c>
      <c r="I1094" t="str">
        <f t="shared" si="450"/>
        <v>次</v>
      </c>
      <c r="K1094" t="str">
        <f>"ZYSYJSTJ"</f>
        <v>ZYSYJSTJ</v>
      </c>
      <c r="L1094" t="str">
        <f>"KATPRSWS"</f>
        <v>KATPRSWS</v>
      </c>
      <c r="M1094">
        <v>20</v>
      </c>
      <c r="O1094" t="str">
        <f t="shared" si="449"/>
        <v>次</v>
      </c>
      <c r="P1094" t="str">
        <f>"体检费"</f>
        <v>体检费</v>
      </c>
    </row>
    <row r="1095" spans="1:16">
      <c r="A1095" t="str">
        <f>"个性化营养随餐指导"</f>
        <v>个性化营养随餐指导</v>
      </c>
      <c r="B1095" t="str">
        <f>"ZF0295"</f>
        <v>ZF0295</v>
      </c>
      <c r="C1095" t="str">
        <f t="shared" si="451"/>
        <v>其他</v>
      </c>
      <c r="G1095">
        <v>500</v>
      </c>
      <c r="I1095" t="str">
        <f t="shared" si="450"/>
        <v>次</v>
      </c>
      <c r="K1095" t="str">
        <f>"GXHYYSCZD"</f>
        <v>GXHYYSCZD</v>
      </c>
      <c r="L1095" t="str">
        <f>"WNWAUBHRN"</f>
        <v>WNWAUBHRN</v>
      </c>
      <c r="M1095">
        <v>500</v>
      </c>
      <c r="O1095" t="str">
        <f t="shared" si="449"/>
        <v>次</v>
      </c>
      <c r="P1095" t="str">
        <f>"其他费用"</f>
        <v>其他费用</v>
      </c>
    </row>
    <row r="1096" spans="1:16">
      <c r="A1096" t="str">
        <f>"“小中医”研学包（阅）"</f>
        <v>“小中医”研学包（阅）</v>
      </c>
      <c r="B1096" t="str">
        <f>"sfxm37888"</f>
        <v>sfxm37888</v>
      </c>
      <c r="C1096" t="str">
        <f t="shared" si="451"/>
        <v>其他</v>
      </c>
      <c r="G1096">
        <v>50</v>
      </c>
      <c r="I1096" t="str">
        <f t="shared" si="450"/>
        <v>次</v>
      </c>
      <c r="K1096" t="str">
        <f>"XZYYXBY"</f>
        <v>XZYYXBY</v>
      </c>
      <c r="L1096" t="str">
        <f>"IKADIQU"</f>
        <v>IKADIQU</v>
      </c>
      <c r="M1096">
        <v>50</v>
      </c>
      <c r="O1096" t="str">
        <f t="shared" si="449"/>
        <v>次</v>
      </c>
      <c r="P1096" t="str">
        <f>"其他收入"</f>
        <v>其他收入</v>
      </c>
    </row>
    <row r="1097" spans="1:16">
      <c r="A1097" t="str">
        <f>"定制式保持器"</f>
        <v>定制式保持器</v>
      </c>
      <c r="B1097" t="str">
        <f>"sfxm42453"</f>
        <v>sfxm42453</v>
      </c>
      <c r="C1097" t="str">
        <f>"材料"</f>
        <v>材料</v>
      </c>
      <c r="G1097">
        <v>2200</v>
      </c>
      <c r="I1097" t="str">
        <f>"套"</f>
        <v>套</v>
      </c>
      <c r="K1097" t="str">
        <f>"DZSBCQ"</f>
        <v>DZSBCQ</v>
      </c>
      <c r="L1097" t="str">
        <f>"PRAWRK"</f>
        <v>PRAWRK</v>
      </c>
      <c r="M1097">
        <v>2200</v>
      </c>
      <c r="O1097" t="str">
        <f>"套"</f>
        <v>套</v>
      </c>
      <c r="P1097" t="str">
        <f>"材料费"</f>
        <v>材料费</v>
      </c>
    </row>
    <row r="1098" spans="1:16">
      <c r="A1098" t="str">
        <f>"流感香囊包（阅）"</f>
        <v>流感香囊包（阅）</v>
      </c>
      <c r="B1098" t="str">
        <f>"sfxm43660"</f>
        <v>sfxm43660</v>
      </c>
      <c r="C1098" t="str">
        <f>"其他"</f>
        <v>其他</v>
      </c>
      <c r="G1098" t="str">
        <f>"0"</f>
        <v>0</v>
      </c>
      <c r="I1098" t="str">
        <f>"个"</f>
        <v>个</v>
      </c>
      <c r="K1098" t="str">
        <f>"LGXNBY"</f>
        <v>LGXNBY</v>
      </c>
      <c r="L1098" t="str">
        <f>"IDTGQU"</f>
        <v>IDTGQU</v>
      </c>
      <c r="M1098" t="str">
        <f>"0"</f>
        <v>0</v>
      </c>
      <c r="O1098" t="str">
        <f>"每个"</f>
        <v>每个</v>
      </c>
      <c r="P1098" t="str">
        <f>"其他收入"</f>
        <v>其他收入</v>
      </c>
    </row>
    <row r="1099" spans="1:16">
      <c r="A1099" t="str">
        <f>"滚针"</f>
        <v>滚针</v>
      </c>
      <c r="B1099" t="str">
        <f>"sfxm48111"</f>
        <v>sfxm48111</v>
      </c>
      <c r="C1099" t="str">
        <f>"材料"</f>
        <v>材料</v>
      </c>
      <c r="G1099">
        <v>128</v>
      </c>
      <c r="K1099" t="str">
        <f>"GZ"</f>
        <v>GZ</v>
      </c>
      <c r="L1099" t="str">
        <f>"IQ"</f>
        <v>IQ</v>
      </c>
      <c r="M1099">
        <v>128</v>
      </c>
      <c r="O1099" t="str">
        <f>"盒"</f>
        <v>盒</v>
      </c>
      <c r="P1099" t="str">
        <f>"材料费"</f>
        <v>材料费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006</cp:lastModifiedBy>
  <dcterms:created xsi:type="dcterms:W3CDTF">2026-09-30T06:11:13Z</dcterms:created>
  <dcterms:modified xsi:type="dcterms:W3CDTF">2026-09-30T06:11:29Z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E909D4D053C5412DBD70463308D28F42_13</vt:lpwstr>
  </property>
  <property fmtid="{D5CDD505-2E9C-101B-9397-08002B2CF9AE}" pid="3" name="KSOProductBuildVer">
    <vt:lpwstr>2052-11.1.0.14309</vt:lpwstr>
  </property>
</Properties>
</file>